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1"/>
  </bookViews>
  <sheets>
    <sheet name="1.DATOS" sheetId="1" r:id="rId1"/>
    <sheet name="2.CARGOS-SALARIOS" sheetId="2" r:id="rId2"/>
    <sheet name="3.ALTONIVEL" sheetId="3" r:id="rId3"/>
    <sheet name="NOMINA DETALLE COMISION" sheetId="4" state="hidden" r:id="rId4"/>
    <sheet name="4.EMPLEADOS" sheetId="5" r:id="rId5"/>
    <sheet name="5.OBREROS" sheetId="6" r:id="rId6"/>
    <sheet name="6.CONTRATADOS" sheetId="7" r:id="rId7"/>
    <sheet name="7.HP" sheetId="8" r:id="rId8"/>
    <sheet name="8.PENSIONADOS" sheetId="9" r:id="rId9"/>
    <sheet name="9.JUBILADOS" sheetId="10" r:id="rId10"/>
    <sheet name="NOMINA DETALLE PENSIONADOS" sheetId="11" state="hidden" r:id="rId11"/>
    <sheet name="10.COMISION" sheetId="12" r:id="rId12"/>
    <sheet name="11.RESUMEN" sheetId="13" r:id="rId13"/>
    <sheet name="DETALLE PRESUPUESTARIO" sheetId="14" r:id="rId14"/>
  </sheets>
  <definedNames>
    <definedName name="AFDASF">#REF!</definedName>
    <definedName name="CARGOS">'2.CARGOS-SALARIOS'!$D$13:$D$114</definedName>
    <definedName name="CATEGORIA" localSheetId="12">#REF!</definedName>
    <definedName name="CATEGORIA" localSheetId="8">#REF!</definedName>
    <definedName name="CATEGORIA" localSheetId="9">#REF!</definedName>
    <definedName name="CATEGORIA">#REF!</definedName>
    <definedName name="CODIGO" localSheetId="12">#REF!</definedName>
    <definedName name="CODIGO" localSheetId="8">#REF!</definedName>
    <definedName name="CODIGO" localSheetId="9">#REF!</definedName>
    <definedName name="CODIGO">#REF!</definedName>
    <definedName name="COMISION" localSheetId="12">#REF!</definedName>
    <definedName name="COMISION" localSheetId="8">#REF!</definedName>
    <definedName name="COMISION" localSheetId="9">#REF!</definedName>
    <definedName name="COMISION">#REF!</definedName>
    <definedName name="ENTES" localSheetId="12">#REF!</definedName>
    <definedName name="ENTES" localSheetId="8">#REF!</definedName>
    <definedName name="ENTES" localSheetId="9">#REF!</definedName>
    <definedName name="ENTES">#REF!</definedName>
    <definedName name="GENERO" localSheetId="12">#REF!</definedName>
    <definedName name="GENERO" localSheetId="8">#REF!</definedName>
    <definedName name="GENERO" localSheetId="9">#REF!</definedName>
    <definedName name="GENERO">#REF!</definedName>
    <definedName name="MESES" localSheetId="12">#REF!</definedName>
    <definedName name="MESES" localSheetId="8">#REF!</definedName>
    <definedName name="MESES" localSheetId="9">#REF!</definedName>
    <definedName name="MESES">#REF!</definedName>
  </definedName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7" i="14" l="1"/>
  <c r="C10" i="14"/>
  <c r="B4" i="14"/>
  <c r="B3" i="14"/>
  <c r="B2" i="14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L44" i="13"/>
  <c r="AM43" i="13"/>
  <c r="AL43" i="13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AM42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AQ39" i="13"/>
  <c r="AM39" i="13"/>
  <c r="AI39" i="13"/>
  <c r="G39" i="13"/>
  <c r="AT38" i="13"/>
  <c r="AS38" i="13"/>
  <c r="AR38" i="13"/>
  <c r="AQ38" i="13"/>
  <c r="AP38" i="13"/>
  <c r="AO38" i="13"/>
  <c r="AN38" i="13"/>
  <c r="AM38" i="13"/>
  <c r="AL38" i="13"/>
  <c r="AK38" i="13"/>
  <c r="AJ38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AT37" i="13"/>
  <c r="AS37" i="13"/>
  <c r="AR37" i="13"/>
  <c r="AQ37" i="13"/>
  <c r="AP37" i="13"/>
  <c r="AO37" i="13"/>
  <c r="AN37" i="13"/>
  <c r="AM37" i="13"/>
  <c r="AL37" i="13"/>
  <c r="AK37" i="13"/>
  <c r="AJ37" i="13"/>
  <c r="AI37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AO29" i="13"/>
  <c r="Y29" i="13"/>
  <c r="U29" i="13"/>
  <c r="T29" i="13"/>
  <c r="S29" i="13"/>
  <c r="F29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T24" i="13"/>
  <c r="P24" i="13"/>
  <c r="O24" i="13"/>
  <c r="N24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AN18" i="13"/>
  <c r="X18" i="13"/>
  <c r="U18" i="13"/>
  <c r="T18" i="13"/>
  <c r="S18" i="13"/>
  <c r="R18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C236" i="14" s="1"/>
  <c r="D17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AG12" i="13"/>
  <c r="U12" i="13"/>
  <c r="R12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C300" i="14" s="1"/>
  <c r="D11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BN15" i="12"/>
  <c r="AS39" i="13" s="1"/>
  <c r="BM15" i="12"/>
  <c r="AR39" i="13" s="1"/>
  <c r="BL15" i="12"/>
  <c r="BK15" i="12"/>
  <c r="AP39" i="13" s="1"/>
  <c r="BI15" i="12"/>
  <c r="AN39" i="13" s="1"/>
  <c r="BH15" i="12"/>
  <c r="BG15" i="12"/>
  <c r="AL39" i="13" s="1"/>
  <c r="BD15" i="12"/>
  <c r="BC15" i="12"/>
  <c r="AH39" i="13" s="1"/>
  <c r="BB15" i="12"/>
  <c r="AG39" i="13" s="1"/>
  <c r="BA15" i="12"/>
  <c r="AF39" i="13" s="1"/>
  <c r="AY15" i="12"/>
  <c r="AD39" i="13" s="1"/>
  <c r="AP15" i="12"/>
  <c r="U39" i="13" s="1"/>
  <c r="AM15" i="12"/>
  <c r="R39" i="13" s="1"/>
  <c r="AC15" i="12"/>
  <c r="H39" i="13" s="1"/>
  <c r="AB15" i="12"/>
  <c r="AA15" i="12"/>
  <c r="F39" i="13" s="1"/>
  <c r="Z15" i="12"/>
  <c r="E39" i="13" s="1"/>
  <c r="X15" i="12"/>
  <c r="W15" i="12"/>
  <c r="V15" i="12"/>
  <c r="U15" i="12"/>
  <c r="T15" i="12"/>
  <c r="S15" i="12"/>
  <c r="R15" i="12"/>
  <c r="Q15" i="12"/>
  <c r="O15" i="12"/>
  <c r="M15" i="12"/>
  <c r="K15" i="12"/>
  <c r="I15" i="12"/>
  <c r="C39" i="13" s="1"/>
  <c r="BJ9" i="12"/>
  <c r="BE9" i="12"/>
  <c r="Y9" i="12"/>
  <c r="P9" i="12"/>
  <c r="L9" i="12"/>
  <c r="N9" i="12" s="1"/>
  <c r="A9" i="12"/>
  <c r="BJ8" i="12"/>
  <c r="BE8" i="12"/>
  <c r="AO8" i="12"/>
  <c r="AL8" i="12"/>
  <c r="AJ8" i="12"/>
  <c r="AI8" i="12"/>
  <c r="AH8" i="12"/>
  <c r="AF8" i="12"/>
  <c r="AE8" i="12"/>
  <c r="AD8" i="12"/>
  <c r="Y8" i="12"/>
  <c r="AK8" i="12" s="1"/>
  <c r="P8" i="12"/>
  <c r="N8" i="12"/>
  <c r="L8" i="12"/>
  <c r="A8" i="12"/>
  <c r="BJ7" i="12"/>
  <c r="BJ15" i="12" s="1"/>
  <c r="AO39" i="13" s="1"/>
  <c r="AK7" i="12"/>
  <c r="AJ7" i="12"/>
  <c r="AG7" i="12"/>
  <c r="AF7" i="12"/>
  <c r="AE7" i="12"/>
  <c r="Y7" i="12"/>
  <c r="P7" i="12"/>
  <c r="N7" i="12"/>
  <c r="N15" i="12" s="1"/>
  <c r="L7" i="12"/>
  <c r="L15" i="12" s="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Q25" i="11"/>
  <c r="AP25" i="11"/>
  <c r="AO25" i="11"/>
  <c r="AN25" i="11"/>
  <c r="AM25" i="11"/>
  <c r="AL25" i="11"/>
  <c r="AK25" i="11"/>
  <c r="AJ25" i="11"/>
  <c r="AI25" i="11"/>
  <c r="AH25" i="11"/>
  <c r="AG25" i="11"/>
  <c r="J25" i="11"/>
  <c r="BK20" i="11"/>
  <c r="AS20" i="11"/>
  <c r="AF20" i="11"/>
  <c r="AE20" i="11"/>
  <c r="AR20" i="11" s="1"/>
  <c r="K20" i="11"/>
  <c r="AS19" i="11"/>
  <c r="AF19" i="11"/>
  <c r="AE19" i="11"/>
  <c r="K19" i="11"/>
  <c r="AS18" i="11"/>
  <c r="AR18" i="11"/>
  <c r="AF18" i="11"/>
  <c r="AE18" i="11"/>
  <c r="K18" i="11"/>
  <c r="AS17" i="11"/>
  <c r="AR17" i="11"/>
  <c r="AF17" i="11"/>
  <c r="AE17" i="11"/>
  <c r="BK17" i="11" s="1"/>
  <c r="K17" i="11"/>
  <c r="AS16" i="11"/>
  <c r="AF16" i="11"/>
  <c r="AE16" i="11"/>
  <c r="AR16" i="11" s="1"/>
  <c r="K16" i="11"/>
  <c r="AS15" i="11"/>
  <c r="BK15" i="11" s="1"/>
  <c r="AF15" i="11"/>
  <c r="AE15" i="11"/>
  <c r="AR15" i="11" s="1"/>
  <c r="K15" i="11"/>
  <c r="AS14" i="11"/>
  <c r="AR14" i="11"/>
  <c r="AF14" i="11"/>
  <c r="AE14" i="11"/>
  <c r="K14" i="11"/>
  <c r="AS13" i="11"/>
  <c r="AR13" i="11"/>
  <c r="AF13" i="11"/>
  <c r="AE13" i="11"/>
  <c r="K13" i="11"/>
  <c r="A13" i="11"/>
  <c r="A14" i="11" s="1"/>
  <c r="A15" i="11" s="1"/>
  <c r="A16" i="11" s="1"/>
  <c r="A17" i="11" s="1"/>
  <c r="A18" i="11" s="1"/>
  <c r="A19" i="11" s="1"/>
  <c r="A20" i="11" s="1"/>
  <c r="BK12" i="11"/>
  <c r="AS12" i="11"/>
  <c r="AF12" i="11"/>
  <c r="AE12" i="11"/>
  <c r="AR12" i="11" s="1"/>
  <c r="K12" i="11"/>
  <c r="A12" i="11"/>
  <c r="AS11" i="11"/>
  <c r="AF11" i="11"/>
  <c r="AF25" i="11" s="1"/>
  <c r="AE11" i="11"/>
  <c r="K11" i="11"/>
  <c r="I6" i="11"/>
  <c r="H5" i="11"/>
  <c r="C3" i="11"/>
  <c r="C2" i="11"/>
  <c r="D16" i="10"/>
  <c r="C44" i="13" s="1"/>
  <c r="BH15" i="10"/>
  <c r="AL44" i="13" s="1"/>
  <c r="BG15" i="10"/>
  <c r="AK44" i="13" s="1"/>
  <c r="BF15" i="10"/>
  <c r="AJ44" i="13" s="1"/>
  <c r="BE15" i="10"/>
  <c r="AI44" i="13" s="1"/>
  <c r="BD15" i="10"/>
  <c r="AH44" i="13" s="1"/>
  <c r="BC15" i="10"/>
  <c r="AG44" i="13" s="1"/>
  <c r="BB15" i="10"/>
  <c r="AF44" i="13" s="1"/>
  <c r="BA15" i="10"/>
  <c r="AE44" i="13" s="1"/>
  <c r="AX15" i="10"/>
  <c r="AB44" i="13" s="1"/>
  <c r="AW15" i="10"/>
  <c r="AA44" i="13" s="1"/>
  <c r="AV15" i="10"/>
  <c r="Z44" i="13" s="1"/>
  <c r="AU15" i="10"/>
  <c r="Y44" i="13" s="1"/>
  <c r="AS15" i="10"/>
  <c r="W44" i="13" s="1"/>
  <c r="AN15" i="10"/>
  <c r="R44" i="13" s="1"/>
  <c r="Y15" i="10"/>
  <c r="X15" i="10"/>
  <c r="W15" i="10"/>
  <c r="V15" i="10"/>
  <c r="U15" i="10"/>
  <c r="T15" i="10"/>
  <c r="S15" i="10"/>
  <c r="R15" i="10"/>
  <c r="P15" i="10"/>
  <c r="N15" i="10"/>
  <c r="BD9" i="10"/>
  <c r="AE9" i="10"/>
  <c r="AA9" i="10"/>
  <c r="Z9" i="10"/>
  <c r="AM9" i="10" s="1"/>
  <c r="M9" i="10"/>
  <c r="O9" i="10" s="1"/>
  <c r="L9" i="10"/>
  <c r="BD8" i="10"/>
  <c r="AA8" i="10"/>
  <c r="AA15" i="10" s="1"/>
  <c r="E44" i="13" s="1"/>
  <c r="Z8" i="10"/>
  <c r="AE8" i="10" s="1"/>
  <c r="L8" i="10"/>
  <c r="M8" i="10" s="1"/>
  <c r="O8" i="10" s="1"/>
  <c r="A8" i="10"/>
  <c r="A9" i="10" s="1"/>
  <c r="BD7" i="10"/>
  <c r="AA7" i="10"/>
  <c r="L7" i="10"/>
  <c r="D16" i="9"/>
  <c r="C50" i="13" s="1"/>
  <c r="BG15" i="9"/>
  <c r="AK50" i="13" s="1"/>
  <c r="BF15" i="9"/>
  <c r="AJ50" i="13" s="1"/>
  <c r="BE15" i="9"/>
  <c r="AI50" i="13" s="1"/>
  <c r="BD15" i="9"/>
  <c r="AH50" i="13" s="1"/>
  <c r="BB15" i="9"/>
  <c r="AF50" i="13" s="1"/>
  <c r="BA15" i="9"/>
  <c r="AE50" i="13" s="1"/>
  <c r="AZ15" i="9"/>
  <c r="AD50" i="13" s="1"/>
  <c r="AW15" i="9"/>
  <c r="AA50" i="13" s="1"/>
  <c r="AV15" i="9"/>
  <c r="Z50" i="13" s="1"/>
  <c r="AU15" i="9"/>
  <c r="Y50" i="13" s="1"/>
  <c r="AT15" i="9"/>
  <c r="X50" i="13" s="1"/>
  <c r="AR15" i="9"/>
  <c r="V50" i="13" s="1"/>
  <c r="AM15" i="9"/>
  <c r="Q50" i="13" s="1"/>
  <c r="Y15" i="9"/>
  <c r="X15" i="9"/>
  <c r="W15" i="9"/>
  <c r="V15" i="9"/>
  <c r="U15" i="9"/>
  <c r="T15" i="9"/>
  <c r="S15" i="9"/>
  <c r="R15" i="9"/>
  <c r="P15" i="9"/>
  <c r="N15" i="9"/>
  <c r="BC9" i="9"/>
  <c r="AA9" i="9"/>
  <c r="M9" i="9"/>
  <c r="O9" i="9" s="1"/>
  <c r="L9" i="9"/>
  <c r="Z9" i="9" s="1"/>
  <c r="AC9" i="9" s="1"/>
  <c r="BC8" i="9"/>
  <c r="BC15" i="9" s="1"/>
  <c r="AG50" i="13" s="1"/>
  <c r="AH8" i="9"/>
  <c r="AC8" i="9"/>
  <c r="AA8" i="9"/>
  <c r="Z8" i="9"/>
  <c r="AX8" i="9" s="1"/>
  <c r="O8" i="9"/>
  <c r="L8" i="9"/>
  <c r="M8" i="9" s="1"/>
  <c r="A8" i="9"/>
  <c r="A9" i="9" s="1"/>
  <c r="BC7" i="9"/>
  <c r="AA7" i="9"/>
  <c r="AA15" i="9" s="1"/>
  <c r="E50" i="13" s="1"/>
  <c r="M7" i="9"/>
  <c r="O7" i="9" s="1"/>
  <c r="L7" i="9"/>
  <c r="L15" i="9" s="1"/>
  <c r="C17" i="8"/>
  <c r="C34" i="13" s="1"/>
  <c r="G15" i="8"/>
  <c r="D34" i="13" s="1"/>
  <c r="I9" i="8"/>
  <c r="H9" i="8"/>
  <c r="H8" i="8"/>
  <c r="I8" i="8" s="1"/>
  <c r="A8" i="8"/>
  <c r="A9" i="8" s="1"/>
  <c r="H7" i="8"/>
  <c r="BT15" i="7"/>
  <c r="AY29" i="13" s="1"/>
  <c r="BS15" i="7"/>
  <c r="AX29" i="13" s="1"/>
  <c r="BR15" i="7"/>
  <c r="AW29" i="13" s="1"/>
  <c r="BQ15" i="7"/>
  <c r="AV29" i="13" s="1"/>
  <c r="BO15" i="7"/>
  <c r="AT29" i="13" s="1"/>
  <c r="BN15" i="7"/>
  <c r="AS29" i="13" s="1"/>
  <c r="BM15" i="7"/>
  <c r="AR29" i="13" s="1"/>
  <c r="BI15" i="7"/>
  <c r="AN29" i="13" s="1"/>
  <c r="BH15" i="7"/>
  <c r="AM29" i="13" s="1"/>
  <c r="BG15" i="7"/>
  <c r="AL29" i="13" s="1"/>
  <c r="BF15" i="7"/>
  <c r="AK29" i="13" s="1"/>
  <c r="BD15" i="7"/>
  <c r="AI29" i="13" s="1"/>
  <c r="AU15" i="7"/>
  <c r="Z29" i="13" s="1"/>
  <c r="AQ15" i="7"/>
  <c r="V29" i="13" s="1"/>
  <c r="AD15" i="7"/>
  <c r="I29" i="13" s="1"/>
  <c r="AC15" i="7"/>
  <c r="H29" i="13" s="1"/>
  <c r="AB15" i="7"/>
  <c r="G29" i="13" s="1"/>
  <c r="AA15" i="7"/>
  <c r="Y15" i="7"/>
  <c r="D29" i="13" s="1"/>
  <c r="X15" i="7"/>
  <c r="W15" i="7"/>
  <c r="V15" i="7"/>
  <c r="U15" i="7"/>
  <c r="T15" i="7"/>
  <c r="S15" i="7"/>
  <c r="R15" i="7"/>
  <c r="Q15" i="7"/>
  <c r="O15" i="7"/>
  <c r="M15" i="7"/>
  <c r="I15" i="7"/>
  <c r="C29" i="13" s="1"/>
  <c r="BP9" i="7"/>
  <c r="BK9" i="7"/>
  <c r="AS9" i="7"/>
  <c r="AL9" i="7"/>
  <c r="AK9" i="7"/>
  <c r="AI9" i="7"/>
  <c r="AG9" i="7"/>
  <c r="AE9" i="7"/>
  <c r="Z9" i="7"/>
  <c r="Y9" i="7"/>
  <c r="P9" i="7"/>
  <c r="N9" i="7"/>
  <c r="L9" i="7"/>
  <c r="K9" i="7"/>
  <c r="BP8" i="7"/>
  <c r="AS8" i="7"/>
  <c r="AL8" i="7"/>
  <c r="AK8" i="7"/>
  <c r="AJ8" i="7"/>
  <c r="AG8" i="7"/>
  <c r="AF8" i="7"/>
  <c r="Y8" i="7"/>
  <c r="P8" i="7"/>
  <c r="P15" i="7" s="1"/>
  <c r="L8" i="7"/>
  <c r="N8" i="7" s="1"/>
  <c r="K8" i="7"/>
  <c r="Z8" i="7" s="1"/>
  <c r="A8" i="7"/>
  <c r="A9" i="7" s="1"/>
  <c r="BP7" i="7"/>
  <c r="AS7" i="7"/>
  <c r="AS15" i="7" s="1"/>
  <c r="X29" i="13" s="1"/>
  <c r="AK7" i="7"/>
  <c r="AK15" i="7" s="1"/>
  <c r="P29" i="13" s="1"/>
  <c r="AJ7" i="7"/>
  <c r="AF7" i="7"/>
  <c r="AE7" i="7"/>
  <c r="Y7" i="7"/>
  <c r="P7" i="7"/>
  <c r="K7" i="7"/>
  <c r="BN15" i="6"/>
  <c r="AS24" i="13" s="1"/>
  <c r="BM15" i="6"/>
  <c r="AR24" i="13" s="1"/>
  <c r="BL15" i="6"/>
  <c r="AQ24" i="13" s="1"/>
  <c r="BK15" i="6"/>
  <c r="AP24" i="13" s="1"/>
  <c r="BI15" i="6"/>
  <c r="AN24" i="13" s="1"/>
  <c r="BH15" i="6"/>
  <c r="AM24" i="13" s="1"/>
  <c r="BG15" i="6"/>
  <c r="AL24" i="13" s="1"/>
  <c r="BD15" i="6"/>
  <c r="AI24" i="13" s="1"/>
  <c r="BC15" i="6"/>
  <c r="AH24" i="13" s="1"/>
  <c r="BB15" i="6"/>
  <c r="AG24" i="13" s="1"/>
  <c r="BA15" i="6"/>
  <c r="AF24" i="13" s="1"/>
  <c r="AY15" i="6"/>
  <c r="AD24" i="13" s="1"/>
  <c r="AP15" i="6"/>
  <c r="U24" i="13" s="1"/>
  <c r="AL15" i="6"/>
  <c r="Q24" i="13" s="1"/>
  <c r="AC15" i="6"/>
  <c r="H24" i="13" s="1"/>
  <c r="AB15" i="6"/>
  <c r="G24" i="13" s="1"/>
  <c r="AA15" i="6"/>
  <c r="F24" i="13" s="1"/>
  <c r="Z15" i="6"/>
  <c r="E24" i="13" s="1"/>
  <c r="W15" i="6"/>
  <c r="V15" i="6"/>
  <c r="U15" i="6"/>
  <c r="T15" i="6"/>
  <c r="S15" i="6"/>
  <c r="R15" i="6"/>
  <c r="Q15" i="6"/>
  <c r="O15" i="6"/>
  <c r="M15" i="6"/>
  <c r="I15" i="6"/>
  <c r="C24" i="13" s="1"/>
  <c r="BJ9" i="6"/>
  <c r="BE9" i="6"/>
  <c r="AD9" i="6"/>
  <c r="P9" i="6"/>
  <c r="L9" i="6"/>
  <c r="N9" i="6" s="1"/>
  <c r="K9" i="6"/>
  <c r="Y9" i="6" s="1"/>
  <c r="BJ8" i="6"/>
  <c r="P8" i="6"/>
  <c r="K8" i="6"/>
  <c r="L8" i="6" s="1"/>
  <c r="N8" i="6" s="1"/>
  <c r="A8" i="6"/>
  <c r="A9" i="6" s="1"/>
  <c r="BJ7" i="6"/>
  <c r="P7" i="6"/>
  <c r="P15" i="6" s="1"/>
  <c r="L7" i="6"/>
  <c r="K7" i="6"/>
  <c r="Y7" i="6" s="1"/>
  <c r="BE7" i="6" s="1"/>
  <c r="BS15" i="5"/>
  <c r="AX18" i="13" s="1"/>
  <c r="BR15" i="5"/>
  <c r="AW18" i="13" s="1"/>
  <c r="BQ15" i="5"/>
  <c r="AV18" i="13" s="1"/>
  <c r="BP15" i="5"/>
  <c r="AU18" i="13" s="1"/>
  <c r="BN15" i="5"/>
  <c r="AS18" i="13" s="1"/>
  <c r="BM15" i="5"/>
  <c r="AR18" i="13" s="1"/>
  <c r="BL15" i="5"/>
  <c r="AQ18" i="13" s="1"/>
  <c r="BH15" i="5"/>
  <c r="AM18" i="13" s="1"/>
  <c r="BG15" i="5"/>
  <c r="AL18" i="13" s="1"/>
  <c r="BF15" i="5"/>
  <c r="AK18" i="13" s="1"/>
  <c r="BE15" i="5"/>
  <c r="AJ18" i="13" s="1"/>
  <c r="BC15" i="5"/>
  <c r="AH18" i="13" s="1"/>
  <c r="AT15" i="5"/>
  <c r="Y18" i="13" s="1"/>
  <c r="AP15" i="5"/>
  <c r="AC15" i="5"/>
  <c r="H18" i="13" s="1"/>
  <c r="AB15" i="5"/>
  <c r="G18" i="13" s="1"/>
  <c r="AA15" i="5"/>
  <c r="F18" i="13" s="1"/>
  <c r="Z15" i="5"/>
  <c r="E18" i="13" s="1"/>
  <c r="X15" i="5"/>
  <c r="W15" i="5"/>
  <c r="V15" i="5"/>
  <c r="U15" i="5"/>
  <c r="T15" i="5"/>
  <c r="S15" i="5"/>
  <c r="R15" i="5"/>
  <c r="Q15" i="5"/>
  <c r="O15" i="5"/>
  <c r="M15" i="5"/>
  <c r="I15" i="5"/>
  <c r="C18" i="13" s="1"/>
  <c r="BO9" i="5"/>
  <c r="BJ9" i="5"/>
  <c r="AI9" i="5"/>
  <c r="AH9" i="5"/>
  <c r="AE9" i="5"/>
  <c r="P9" i="5"/>
  <c r="L9" i="5"/>
  <c r="N9" i="5" s="1"/>
  <c r="K9" i="5"/>
  <c r="Y9" i="5" s="1"/>
  <c r="BO8" i="5"/>
  <c r="BO15" i="5" s="1"/>
  <c r="AT18" i="13" s="1"/>
  <c r="P8" i="5"/>
  <c r="K8" i="5"/>
  <c r="L8" i="5" s="1"/>
  <c r="N8" i="5" s="1"/>
  <c r="A8" i="5"/>
  <c r="A9" i="5" s="1"/>
  <c r="BO7" i="5"/>
  <c r="BJ7" i="5"/>
  <c r="AI7" i="5"/>
  <c r="AH7" i="5"/>
  <c r="AE7" i="5"/>
  <c r="P7" i="5"/>
  <c r="P15" i="5" s="1"/>
  <c r="N7" i="5"/>
  <c r="N15" i="5" s="1"/>
  <c r="L7" i="5"/>
  <c r="K7" i="5"/>
  <c r="Y7" i="5" s="1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K16" i="4"/>
  <c r="BI16" i="4"/>
  <c r="BH16" i="4"/>
  <c r="BG16" i="4"/>
  <c r="BF16" i="4"/>
  <c r="BE16" i="4"/>
  <c r="BB16" i="4"/>
  <c r="BA16" i="4"/>
  <c r="AZ16" i="4"/>
  <c r="AY16" i="4"/>
  <c r="AX16" i="4"/>
  <c r="AW16" i="4"/>
  <c r="AV16" i="4"/>
  <c r="AS16" i="4"/>
  <c r="AR16" i="4"/>
  <c r="AQ16" i="4"/>
  <c r="AP16" i="4"/>
  <c r="AO16" i="4"/>
  <c r="AN22" i="4" s="1"/>
  <c r="AN16" i="4"/>
  <c r="AM16" i="4"/>
  <c r="AL16" i="4"/>
  <c r="AK16" i="4"/>
  <c r="AJ16" i="4"/>
  <c r="AI16" i="4"/>
  <c r="AH16" i="4"/>
  <c r="AG16" i="4"/>
  <c r="BJ11" i="4"/>
  <c r="BJ16" i="4" s="1"/>
  <c r="BE11" i="4"/>
  <c r="BD11" i="4"/>
  <c r="BD16" i="4" s="1"/>
  <c r="BC11" i="4"/>
  <c r="BC16" i="4" s="1"/>
  <c r="AS11" i="4"/>
  <c r="AG11" i="4"/>
  <c r="M11" i="4"/>
  <c r="K11" i="4"/>
  <c r="AH6" i="4"/>
  <c r="I6" i="4"/>
  <c r="O11" i="4" s="1"/>
  <c r="BL11" i="4" s="1"/>
  <c r="BL16" i="4" s="1"/>
  <c r="H5" i="4"/>
  <c r="C3" i="4"/>
  <c r="C2" i="4"/>
  <c r="BO13" i="3"/>
  <c r="AT12" i="13" s="1"/>
  <c r="BN13" i="3"/>
  <c r="AS12" i="13" s="1"/>
  <c r="BM13" i="3"/>
  <c r="AR12" i="13" s="1"/>
  <c r="BL13" i="3"/>
  <c r="AQ12" i="13" s="1"/>
  <c r="BJ13" i="3"/>
  <c r="AO12" i="13" s="1"/>
  <c r="BI13" i="3"/>
  <c r="AN12" i="13" s="1"/>
  <c r="BH13" i="3"/>
  <c r="AM12" i="13" s="1"/>
  <c r="BE13" i="3"/>
  <c r="AJ12" i="13" s="1"/>
  <c r="BD13" i="3"/>
  <c r="AI12" i="13" s="1"/>
  <c r="BC13" i="3"/>
  <c r="AH12" i="13" s="1"/>
  <c r="BB13" i="3"/>
  <c r="AZ13" i="3"/>
  <c r="AE12" i="13" s="1"/>
  <c r="AQ13" i="3"/>
  <c r="V12" i="13" s="1"/>
  <c r="AC13" i="3"/>
  <c r="H12" i="13" s="1"/>
  <c r="AB13" i="3"/>
  <c r="G12" i="13" s="1"/>
  <c r="AA13" i="3"/>
  <c r="F12" i="13" s="1"/>
  <c r="Z13" i="3"/>
  <c r="E12" i="13" s="1"/>
  <c r="W13" i="3"/>
  <c r="V13" i="3"/>
  <c r="U13" i="3"/>
  <c r="T13" i="3"/>
  <c r="S13" i="3"/>
  <c r="R13" i="3"/>
  <c r="Q13" i="3"/>
  <c r="O13" i="3"/>
  <c r="M13" i="3"/>
  <c r="I13" i="3"/>
  <c r="C12" i="13" s="1"/>
  <c r="BK7" i="3"/>
  <c r="BK13" i="3" s="1"/>
  <c r="AP12" i="13" s="1"/>
  <c r="P7" i="3"/>
  <c r="P13" i="3" s="1"/>
  <c r="L7" i="3"/>
  <c r="K7" i="3"/>
  <c r="K13" i="3" s="1"/>
  <c r="A30" i="2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27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14" i="2"/>
  <c r="C4" i="2"/>
  <c r="B4" i="2"/>
  <c r="C3" i="2"/>
  <c r="B3" i="2"/>
  <c r="I60" i="1"/>
  <c r="I59" i="1"/>
  <c r="I58" i="1"/>
  <c r="I57" i="1"/>
  <c r="I56" i="1"/>
  <c r="I55" i="1"/>
  <c r="I54" i="1"/>
  <c r="I53" i="1"/>
  <c r="I52" i="1"/>
  <c r="I51" i="1"/>
  <c r="I50" i="1"/>
  <c r="J49" i="1"/>
  <c r="I49" i="1" s="1"/>
  <c r="E37" i="1"/>
  <c r="E36" i="1"/>
  <c r="E35" i="1"/>
  <c r="E34" i="1"/>
  <c r="E33" i="1"/>
  <c r="E32" i="1"/>
  <c r="E31" i="1"/>
  <c r="E30" i="1"/>
  <c r="G29" i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E29" i="1"/>
  <c r="E28" i="1"/>
  <c r="E27" i="1"/>
  <c r="E26" i="1"/>
  <c r="D10" i="1"/>
  <c r="AT11" i="4" s="1"/>
  <c r="AT16" i="4" s="1"/>
  <c r="C10" i="1"/>
  <c r="AN6" i="4" s="1"/>
  <c r="F4" i="1"/>
  <c r="AE15" i="12" l="1"/>
  <c r="J39" i="13" s="1"/>
  <c r="AU11" i="4"/>
  <c r="AU16" i="4" s="1"/>
  <c r="L15" i="5"/>
  <c r="AR9" i="5"/>
  <c r="AJ9" i="5"/>
  <c r="AF9" i="5"/>
  <c r="AK9" i="5"/>
  <c r="AG9" i="5"/>
  <c r="AD9" i="5"/>
  <c r="AL9" i="5"/>
  <c r="AD7" i="6"/>
  <c r="AS25" i="11"/>
  <c r="AO9" i="12"/>
  <c r="AJ9" i="12"/>
  <c r="AF9" i="12"/>
  <c r="AF15" i="12" s="1"/>
  <c r="K39" i="13" s="1"/>
  <c r="Y15" i="12"/>
  <c r="D39" i="13" s="1"/>
  <c r="AI9" i="12"/>
  <c r="AD9" i="12"/>
  <c r="AK9" i="12"/>
  <c r="AK15" i="12" s="1"/>
  <c r="P39" i="13" s="1"/>
  <c r="AE9" i="12"/>
  <c r="AH9" i="12"/>
  <c r="AG9" i="12"/>
  <c r="AL9" i="12"/>
  <c r="CC11" i="4"/>
  <c r="CC16" i="4" s="1"/>
  <c r="AN7" i="6"/>
  <c r="AF7" i="6"/>
  <c r="AE7" i="6"/>
  <c r="AG7" i="6"/>
  <c r="AH7" i="6"/>
  <c r="AX9" i="9"/>
  <c r="AJ9" i="9"/>
  <c r="AF9" i="9"/>
  <c r="AB9" i="9"/>
  <c r="AK9" i="9" s="1"/>
  <c r="AE9" i="9"/>
  <c r="AI9" i="9"/>
  <c r="AD9" i="9"/>
  <c r="AL9" i="9"/>
  <c r="AG9" i="9"/>
  <c r="AH9" i="9"/>
  <c r="AR19" i="11"/>
  <c r="BK19" i="11" s="1"/>
  <c r="G1" i="13"/>
  <c r="H1" i="12"/>
  <c r="G1" i="6"/>
  <c r="H1" i="5"/>
  <c r="G1" i="8"/>
  <c r="H1" i="10"/>
  <c r="H1" i="9"/>
  <c r="H1" i="7"/>
  <c r="K15" i="5"/>
  <c r="L15" i="6"/>
  <c r="N7" i="6"/>
  <c r="N15" i="6" s="1"/>
  <c r="AN9" i="6"/>
  <c r="AF9" i="6"/>
  <c r="AM9" i="6"/>
  <c r="AE9" i="6"/>
  <c r="AG9" i="6"/>
  <c r="AH9" i="6"/>
  <c r="L15" i="10"/>
  <c r="M7" i="10"/>
  <c r="Z7" i="10"/>
  <c r="AY8" i="10"/>
  <c r="AK8" i="10"/>
  <c r="AF8" i="10"/>
  <c r="AB8" i="10"/>
  <c r="AI8" i="10"/>
  <c r="AC8" i="10"/>
  <c r="AM8" i="10"/>
  <c r="AG8" i="10"/>
  <c r="AJ8" i="10"/>
  <c r="AD8" i="10"/>
  <c r="C112" i="14"/>
  <c r="N7" i="3"/>
  <c r="N13" i="3" s="1"/>
  <c r="L13" i="3"/>
  <c r="H1" i="3"/>
  <c r="Y7" i="3"/>
  <c r="AR7" i="5"/>
  <c r="AJ7" i="5"/>
  <c r="AF7" i="5"/>
  <c r="AK7" i="5"/>
  <c r="AG7" i="5"/>
  <c r="AD7" i="5"/>
  <c r="AL7" i="5"/>
  <c r="Y8" i="5"/>
  <c r="K15" i="7"/>
  <c r="Z7" i="7"/>
  <c r="Z15" i="7" s="1"/>
  <c r="E29" i="13" s="1"/>
  <c r="L7" i="7"/>
  <c r="AF15" i="7"/>
  <c r="K29" i="13" s="1"/>
  <c r="O15" i="9"/>
  <c r="AL7" i="7"/>
  <c r="AL15" i="7" s="1"/>
  <c r="Q29" i="13" s="1"/>
  <c r="AH7" i="7"/>
  <c r="AI7" i="7"/>
  <c r="BK7" i="7"/>
  <c r="BK15" i="7" s="1"/>
  <c r="AP29" i="13" s="1"/>
  <c r="AB8" i="9"/>
  <c r="AG8" i="9"/>
  <c r="AL8" i="9"/>
  <c r="M15" i="9"/>
  <c r="AD9" i="10"/>
  <c r="AE25" i="11"/>
  <c r="AR11" i="11"/>
  <c r="AR25" i="11" s="1"/>
  <c r="BK13" i="11"/>
  <c r="BK18" i="11"/>
  <c r="C91" i="14"/>
  <c r="C204" i="14"/>
  <c r="Y8" i="6"/>
  <c r="K15" i="6"/>
  <c r="BP15" i="7"/>
  <c r="AU29" i="13" s="1"/>
  <c r="AI8" i="9"/>
  <c r="AE8" i="9"/>
  <c r="AK8" i="9" s="1"/>
  <c r="AD8" i="9"/>
  <c r="AJ8" i="9"/>
  <c r="AY9" i="10"/>
  <c r="AK9" i="10"/>
  <c r="AF9" i="10"/>
  <c r="AB9" i="10"/>
  <c r="AG9" i="10"/>
  <c r="AL9" i="10" s="1"/>
  <c r="AC9" i="10"/>
  <c r="AI9" i="10"/>
  <c r="BK14" i="11"/>
  <c r="C48" i="14"/>
  <c r="C140" i="14"/>
  <c r="BJ15" i="6"/>
  <c r="AO24" i="13" s="1"/>
  <c r="AG7" i="7"/>
  <c r="AG15" i="7" s="1"/>
  <c r="L29" i="13" s="1"/>
  <c r="AM7" i="7"/>
  <c r="AM15" i="7" s="1"/>
  <c r="R29" i="13" s="1"/>
  <c r="BK8" i="7"/>
  <c r="AM8" i="7"/>
  <c r="AI8" i="7"/>
  <c r="AE8" i="7"/>
  <c r="AR8" i="7" s="1"/>
  <c r="AH8" i="7"/>
  <c r="AJ9" i="7"/>
  <c r="AR9" i="7" s="1"/>
  <c r="AF9" i="7"/>
  <c r="AH9" i="7"/>
  <c r="AM9" i="7"/>
  <c r="H15" i="8"/>
  <c r="E34" i="13" s="1"/>
  <c r="C277" i="14" s="1"/>
  <c r="C276" i="14" s="1"/>
  <c r="I7" i="8"/>
  <c r="I15" i="8" s="1"/>
  <c r="F34" i="13" s="1"/>
  <c r="AF8" i="9"/>
  <c r="AJ9" i="10"/>
  <c r="BK16" i="11"/>
  <c r="AJ15" i="12"/>
  <c r="O39" i="13" s="1"/>
  <c r="C69" i="14"/>
  <c r="C172" i="14"/>
  <c r="Z7" i="9"/>
  <c r="BE7" i="12"/>
  <c r="BE15" i="12" s="1"/>
  <c r="AJ39" i="13" s="1"/>
  <c r="AL7" i="12"/>
  <c r="AL15" i="12" s="1"/>
  <c r="Q39" i="13" s="1"/>
  <c r="AH7" i="12"/>
  <c r="AH15" i="12" s="1"/>
  <c r="M39" i="13" s="1"/>
  <c r="AD7" i="12"/>
  <c r="AI7" i="12"/>
  <c r="AI15" i="12" s="1"/>
  <c r="N39" i="13" s="1"/>
  <c r="AO7" i="12"/>
  <c r="AO15" i="12" s="1"/>
  <c r="T39" i="13" s="1"/>
  <c r="C317" i="14"/>
  <c r="C313" i="14"/>
  <c r="C309" i="14"/>
  <c r="C308" i="14" s="1"/>
  <c r="C305" i="14"/>
  <c r="C301" i="14"/>
  <c r="C293" i="14"/>
  <c r="C289" i="14"/>
  <c r="C285" i="14"/>
  <c r="C284" i="14" s="1"/>
  <c r="C283" i="14" s="1"/>
  <c r="C282" i="14" s="1"/>
  <c r="C281" i="14"/>
  <c r="C280" i="14" s="1"/>
  <c r="C273" i="14"/>
  <c r="C272" i="14" s="1"/>
  <c r="C249" i="14"/>
  <c r="C245" i="14"/>
  <c r="C241" i="14"/>
  <c r="C237" i="14"/>
  <c r="C233" i="14"/>
  <c r="C229" i="14"/>
  <c r="C225" i="14"/>
  <c r="C221" i="14"/>
  <c r="C217" i="14"/>
  <c r="C213" i="14"/>
  <c r="C209" i="14"/>
  <c r="C205" i="14"/>
  <c r="C201" i="14"/>
  <c r="C197" i="14"/>
  <c r="C193" i="14"/>
  <c r="C189" i="14"/>
  <c r="C185" i="14"/>
  <c r="C181" i="14"/>
  <c r="C177" i="14"/>
  <c r="C173" i="14"/>
  <c r="C165" i="14"/>
  <c r="C161" i="14"/>
  <c r="C157" i="14"/>
  <c r="C153" i="14"/>
  <c r="C149" i="14"/>
  <c r="C145" i="14"/>
  <c r="C137" i="14"/>
  <c r="C133" i="14"/>
  <c r="C129" i="14"/>
  <c r="C121" i="14"/>
  <c r="C318" i="14"/>
  <c r="C314" i="14"/>
  <c r="C310" i="14"/>
  <c r="C306" i="14"/>
  <c r="C302" i="14"/>
  <c r="C298" i="14"/>
  <c r="C297" i="14" s="1"/>
  <c r="C294" i="14"/>
  <c r="C290" i="14"/>
  <c r="C286" i="14"/>
  <c r="C262" i="14"/>
  <c r="C261" i="14" s="1"/>
  <c r="C258" i="14"/>
  <c r="C257" i="14" s="1"/>
  <c r="C254" i="14"/>
  <c r="C253" i="14" s="1"/>
  <c r="C250" i="14"/>
  <c r="C242" i="14"/>
  <c r="C238" i="14"/>
  <c r="C234" i="14"/>
  <c r="C230" i="14"/>
  <c r="C222" i="14"/>
  <c r="C218" i="14"/>
  <c r="C214" i="14"/>
  <c r="C210" i="14"/>
  <c r="C206" i="14"/>
  <c r="C202" i="14"/>
  <c r="C198" i="14"/>
  <c r="C194" i="14"/>
  <c r="C190" i="14"/>
  <c r="C186" i="14"/>
  <c r="C182" i="14"/>
  <c r="C174" i="14"/>
  <c r="C162" i="14"/>
  <c r="C158" i="14"/>
  <c r="C154" i="14"/>
  <c r="C150" i="14"/>
  <c r="C146" i="14"/>
  <c r="C138" i="14"/>
  <c r="C134" i="14"/>
  <c r="C130" i="14"/>
  <c r="C126" i="14"/>
  <c r="C125" i="14" s="1"/>
  <c r="C122" i="14"/>
  <c r="C118" i="14"/>
  <c r="C114" i="14"/>
  <c r="C110" i="14"/>
  <c r="C106" i="14"/>
  <c r="C102" i="14"/>
  <c r="C98" i="14"/>
  <c r="C94" i="14"/>
  <c r="C90" i="14"/>
  <c r="C86" i="14"/>
  <c r="C78" i="14"/>
  <c r="C74" i="14"/>
  <c r="C70" i="14"/>
  <c r="C66" i="14"/>
  <c r="C62" i="14"/>
  <c r="C58" i="14"/>
  <c r="C54" i="14"/>
  <c r="C50" i="14"/>
  <c r="C46" i="14"/>
  <c r="C42" i="14"/>
  <c r="C38" i="14"/>
  <c r="C34" i="14"/>
  <c r="C30" i="14"/>
  <c r="C26" i="14"/>
  <c r="C18" i="14"/>
  <c r="C14" i="14"/>
  <c r="C312" i="14"/>
  <c r="C304" i="14"/>
  <c r="C296" i="14"/>
  <c r="C288" i="14"/>
  <c r="C264" i="14"/>
  <c r="C263" i="14" s="1"/>
  <c r="C256" i="14"/>
  <c r="C255" i="14" s="1"/>
  <c r="C248" i="14"/>
  <c r="C240" i="14"/>
  <c r="C232" i="14"/>
  <c r="C224" i="14"/>
  <c r="C216" i="14"/>
  <c r="C208" i="14"/>
  <c r="C200" i="14"/>
  <c r="C192" i="14"/>
  <c r="C184" i="14"/>
  <c r="C176" i="14"/>
  <c r="C160" i="14"/>
  <c r="C152" i="14"/>
  <c r="C144" i="14"/>
  <c r="C136" i="14"/>
  <c r="C128" i="14"/>
  <c r="C120" i="14"/>
  <c r="C115" i="14"/>
  <c r="C109" i="14"/>
  <c r="C104" i="14"/>
  <c r="C99" i="14"/>
  <c r="C93" i="14"/>
  <c r="C88" i="14"/>
  <c r="C83" i="14"/>
  <c r="C82" i="14" s="1"/>
  <c r="C77" i="14"/>
  <c r="C72" i="14"/>
  <c r="C67" i="14"/>
  <c r="C61" i="14"/>
  <c r="C56" i="14"/>
  <c r="C51" i="14"/>
  <c r="C45" i="14"/>
  <c r="C44" i="14" s="1"/>
  <c r="C40" i="14"/>
  <c r="C35" i="14"/>
  <c r="C29" i="14"/>
  <c r="C24" i="14"/>
  <c r="C19" i="14"/>
  <c r="C13" i="14"/>
  <c r="C311" i="14"/>
  <c r="C303" i="14"/>
  <c r="C295" i="14"/>
  <c r="C287" i="14"/>
  <c r="C279" i="14"/>
  <c r="C278" i="14" s="1"/>
  <c r="C271" i="14"/>
  <c r="C247" i="14"/>
  <c r="C246" i="14" s="1"/>
  <c r="C239" i="14"/>
  <c r="C231" i="14"/>
  <c r="C223" i="14"/>
  <c r="C215" i="14"/>
  <c r="C207" i="14"/>
  <c r="C199" i="14"/>
  <c r="C191" i="14"/>
  <c r="C183" i="14"/>
  <c r="C175" i="14"/>
  <c r="C167" i="14"/>
  <c r="C159" i="14"/>
  <c r="C151" i="14"/>
  <c r="C143" i="14"/>
  <c r="C142" i="14" s="1"/>
  <c r="C135" i="14"/>
  <c r="C127" i="14"/>
  <c r="C119" i="14"/>
  <c r="C113" i="14"/>
  <c r="C108" i="14"/>
  <c r="C103" i="14"/>
  <c r="C97" i="14"/>
  <c r="C92" i="14"/>
  <c r="C87" i="14"/>
  <c r="C81" i="14"/>
  <c r="C76" i="14"/>
  <c r="C71" i="14"/>
  <c r="C65" i="14"/>
  <c r="C60" i="14"/>
  <c r="C55" i="14"/>
  <c r="C49" i="14"/>
  <c r="C39" i="14"/>
  <c r="C33" i="14"/>
  <c r="C28" i="14"/>
  <c r="C23" i="14"/>
  <c r="C22" i="14" s="1"/>
  <c r="C17" i="14"/>
  <c r="C315" i="14"/>
  <c r="C307" i="14"/>
  <c r="C299" i="14"/>
  <c r="C291" i="14"/>
  <c r="C275" i="14"/>
  <c r="C274" i="14" s="1"/>
  <c r="C267" i="14"/>
  <c r="C266" i="14" s="1"/>
  <c r="C265" i="14" s="1"/>
  <c r="C251" i="14"/>
  <c r="C243" i="14"/>
  <c r="C235" i="14"/>
  <c r="C227" i="14"/>
  <c r="C219" i="14"/>
  <c r="C211" i="14"/>
  <c r="C203" i="14"/>
  <c r="C195" i="14"/>
  <c r="C187" i="14"/>
  <c r="C179" i="14"/>
  <c r="C178" i="14" s="1"/>
  <c r="C171" i="14"/>
  <c r="C163" i="14"/>
  <c r="C155" i="14"/>
  <c r="C147" i="14"/>
  <c r="C131" i="14"/>
  <c r="C123" i="14"/>
  <c r="C116" i="14"/>
  <c r="C111" i="14"/>
  <c r="C105" i="14"/>
  <c r="C100" i="14"/>
  <c r="C95" i="14"/>
  <c r="C89" i="14"/>
  <c r="C84" i="14"/>
  <c r="C79" i="14"/>
  <c r="C73" i="14"/>
  <c r="C68" i="14"/>
  <c r="C63" i="14"/>
  <c r="C57" i="14"/>
  <c r="C52" i="14"/>
  <c r="C47" i="14"/>
  <c r="C41" i="14"/>
  <c r="C31" i="14"/>
  <c r="C25" i="14"/>
  <c r="C20" i="14"/>
  <c r="C15" i="14"/>
  <c r="C21" i="14"/>
  <c r="C43" i="14"/>
  <c r="C64" i="14"/>
  <c r="C85" i="14"/>
  <c r="C107" i="14"/>
  <c r="C132" i="14"/>
  <c r="C164" i="14"/>
  <c r="C196" i="14"/>
  <c r="C228" i="14"/>
  <c r="C260" i="14"/>
  <c r="C259" i="14" s="1"/>
  <c r="C292" i="14"/>
  <c r="C53" i="14"/>
  <c r="C75" i="14"/>
  <c r="C96" i="14"/>
  <c r="C148" i="14"/>
  <c r="C180" i="14"/>
  <c r="C212" i="14"/>
  <c r="C244" i="14"/>
  <c r="P15" i="12"/>
  <c r="C16" i="14"/>
  <c r="C37" i="14"/>
  <c r="C36" i="14" s="1"/>
  <c r="C59" i="14"/>
  <c r="C80" i="14"/>
  <c r="C101" i="14"/>
  <c r="C124" i="14"/>
  <c r="C156" i="14"/>
  <c r="C188" i="14"/>
  <c r="C220" i="14"/>
  <c r="C316" i="14"/>
  <c r="AG8" i="12"/>
  <c r="AG15" i="12" s="1"/>
  <c r="L39" i="13" s="1"/>
  <c r="AS8" i="9" l="1"/>
  <c r="AN8" i="9"/>
  <c r="BH8" i="9" s="1"/>
  <c r="AQ8" i="9"/>
  <c r="AP8" i="9"/>
  <c r="AY8" i="9"/>
  <c r="AO8" i="9"/>
  <c r="BA8" i="7"/>
  <c r="BE8" i="7"/>
  <c r="AY8" i="7"/>
  <c r="BC8" i="7"/>
  <c r="AX8" i="7"/>
  <c r="BL8" i="7"/>
  <c r="AZ8" i="7"/>
  <c r="BB8" i="7"/>
  <c r="AW8" i="7" s="1"/>
  <c r="AP9" i="10"/>
  <c r="BI9" i="10" s="1"/>
  <c r="AZ9" i="10"/>
  <c r="AQ9" i="10"/>
  <c r="AT9" i="10"/>
  <c r="AR9" i="10"/>
  <c r="AO9" i="10"/>
  <c r="BL9" i="7"/>
  <c r="BB9" i="7"/>
  <c r="AW9" i="7" s="1"/>
  <c r="AX9" i="7"/>
  <c r="BE9" i="7"/>
  <c r="AY9" i="7"/>
  <c r="BC9" i="7"/>
  <c r="AZ9" i="7"/>
  <c r="BA9" i="7"/>
  <c r="AQ9" i="9"/>
  <c r="AP9" i="9"/>
  <c r="AO9" i="9" s="1"/>
  <c r="AS9" i="9"/>
  <c r="AY9" i="9"/>
  <c r="AN9" i="9"/>
  <c r="BK11" i="11"/>
  <c r="BK25" i="11" s="1"/>
  <c r="AH15" i="7"/>
  <c r="M29" i="13" s="1"/>
  <c r="AJ15" i="5"/>
  <c r="O18" i="13" s="1"/>
  <c r="Q9" i="9"/>
  <c r="Q7" i="9"/>
  <c r="Q8" i="9"/>
  <c r="AF15" i="6"/>
  <c r="K24" i="13" s="1"/>
  <c r="AQ9" i="5"/>
  <c r="BE8" i="6"/>
  <c r="BE15" i="6" s="1"/>
  <c r="AJ24" i="13" s="1"/>
  <c r="AH8" i="6"/>
  <c r="AH15" i="6" s="1"/>
  <c r="M24" i="13" s="1"/>
  <c r="AD8" i="6"/>
  <c r="AM8" i="6" s="1"/>
  <c r="AG8" i="6"/>
  <c r="AE8" i="6"/>
  <c r="AN8" i="6"/>
  <c r="AF8" i="6"/>
  <c r="BJ8" i="5"/>
  <c r="BJ15" i="5" s="1"/>
  <c r="AO18" i="13" s="1"/>
  <c r="AL8" i="5"/>
  <c r="AL15" i="5" s="1"/>
  <c r="Q18" i="13" s="1"/>
  <c r="AH8" i="5"/>
  <c r="AH15" i="5" s="1"/>
  <c r="M18" i="13" s="1"/>
  <c r="AD8" i="5"/>
  <c r="AI8" i="5"/>
  <c r="AI15" i="5" s="1"/>
  <c r="N18" i="13" s="1"/>
  <c r="AE8" i="5"/>
  <c r="AE15" i="5" s="1"/>
  <c r="J18" i="13" s="1"/>
  <c r="AK8" i="5"/>
  <c r="AJ8" i="5"/>
  <c r="AG8" i="5"/>
  <c r="AG15" i="5" s="1"/>
  <c r="L18" i="13" s="1"/>
  <c r="AR8" i="5"/>
  <c r="AF8" i="5"/>
  <c r="AK15" i="5"/>
  <c r="P18" i="13" s="1"/>
  <c r="AR15" i="5"/>
  <c r="W18" i="13" s="1"/>
  <c r="AE15" i="7"/>
  <c r="J29" i="13" s="1"/>
  <c r="AX9" i="6"/>
  <c r="AT9" i="6"/>
  <c r="BF9" i="6"/>
  <c r="AW9" i="6"/>
  <c r="AQ9" i="6" s="1"/>
  <c r="AS9" i="6"/>
  <c r="AZ9" i="6"/>
  <c r="AU9" i="6"/>
  <c r="AV9" i="6"/>
  <c r="Q9" i="10"/>
  <c r="Q7" i="10"/>
  <c r="Q8" i="10"/>
  <c r="AG15" i="6"/>
  <c r="L24" i="13" s="1"/>
  <c r="AN15" i="6"/>
  <c r="S24" i="13" s="1"/>
  <c r="AJ15" i="7"/>
  <c r="O29" i="13" s="1"/>
  <c r="AR7" i="7"/>
  <c r="AN8" i="12"/>
  <c r="N7" i="7"/>
  <c r="N15" i="7" s="1"/>
  <c r="L15" i="7"/>
  <c r="Y15" i="5"/>
  <c r="D18" i="13" s="1"/>
  <c r="AI7" i="3"/>
  <c r="AI13" i="3" s="1"/>
  <c r="N12" i="13" s="1"/>
  <c r="AE7" i="3"/>
  <c r="AE13" i="3" s="1"/>
  <c r="J12" i="13" s="1"/>
  <c r="Y13" i="3"/>
  <c r="D12" i="13" s="1"/>
  <c r="C32" i="14" s="1"/>
  <c r="AO7" i="3"/>
  <c r="AO13" i="3" s="1"/>
  <c r="T12" i="13" s="1"/>
  <c r="AH7" i="3"/>
  <c r="AH13" i="3" s="1"/>
  <c r="M12" i="13" s="1"/>
  <c r="AL7" i="3"/>
  <c r="AL13" i="3" s="1"/>
  <c r="Q12" i="13" s="1"/>
  <c r="AG7" i="3"/>
  <c r="AG13" i="3" s="1"/>
  <c r="L12" i="13" s="1"/>
  <c r="AK7" i="3"/>
  <c r="AK13" i="3" s="1"/>
  <c r="P12" i="13" s="1"/>
  <c r="AF7" i="3"/>
  <c r="AF13" i="3" s="1"/>
  <c r="K12" i="13" s="1"/>
  <c r="BF7" i="3"/>
  <c r="BF13" i="3" s="1"/>
  <c r="AK12" i="13" s="1"/>
  <c r="AJ7" i="3"/>
  <c r="AJ13" i="3" s="1"/>
  <c r="O12" i="13" s="1"/>
  <c r="AD7" i="3"/>
  <c r="AD13" i="3" s="1"/>
  <c r="I12" i="13" s="1"/>
  <c r="AL8" i="10"/>
  <c r="AJ7" i="10"/>
  <c r="AJ15" i="10" s="1"/>
  <c r="N44" i="13" s="1"/>
  <c r="AE7" i="10"/>
  <c r="AE15" i="10" s="1"/>
  <c r="I44" i="13" s="1"/>
  <c r="AI7" i="10"/>
  <c r="AI15" i="10" s="1"/>
  <c r="M44" i="13" s="1"/>
  <c r="AC7" i="10"/>
  <c r="AC15" i="10" s="1"/>
  <c r="G44" i="13" s="1"/>
  <c r="AY7" i="10"/>
  <c r="AY15" i="10" s="1"/>
  <c r="AC44" i="13" s="1"/>
  <c r="AM7" i="10"/>
  <c r="AM15" i="10" s="1"/>
  <c r="Q44" i="13" s="1"/>
  <c r="AG7" i="10"/>
  <c r="AG15" i="10" s="1"/>
  <c r="K44" i="13" s="1"/>
  <c r="AB7" i="10"/>
  <c r="AB15" i="10" s="1"/>
  <c r="F44" i="13" s="1"/>
  <c r="AK7" i="10"/>
  <c r="AK15" i="10" s="1"/>
  <c r="O44" i="13" s="1"/>
  <c r="AD7" i="10"/>
  <c r="AD15" i="10" s="1"/>
  <c r="H44" i="13" s="1"/>
  <c r="Z15" i="10"/>
  <c r="D44" i="13" s="1"/>
  <c r="AF7" i="10"/>
  <c r="AF15" i="10" s="1"/>
  <c r="J44" i="13" s="1"/>
  <c r="AE15" i="6"/>
  <c r="J24" i="13" s="1"/>
  <c r="Y15" i="6"/>
  <c r="D24" i="13" s="1"/>
  <c r="AN9" i="12"/>
  <c r="AD15" i="6"/>
  <c r="I24" i="13" s="1"/>
  <c r="C12" i="14"/>
  <c r="C11" i="14" s="1"/>
  <c r="AN7" i="12"/>
  <c r="AD15" i="12"/>
  <c r="I39" i="13" s="1"/>
  <c r="AL7" i="9"/>
  <c r="AL15" i="9" s="1"/>
  <c r="P50" i="13" s="1"/>
  <c r="AH7" i="9"/>
  <c r="AH15" i="9" s="1"/>
  <c r="L50" i="13" s="1"/>
  <c r="AD7" i="9"/>
  <c r="AD15" i="9" s="1"/>
  <c r="H50" i="13" s="1"/>
  <c r="AI7" i="9"/>
  <c r="AI15" i="9" s="1"/>
  <c r="M50" i="13" s="1"/>
  <c r="AC7" i="9"/>
  <c r="AC15" i="9" s="1"/>
  <c r="G50" i="13" s="1"/>
  <c r="AX7" i="9"/>
  <c r="AX15" i="9" s="1"/>
  <c r="AB50" i="13" s="1"/>
  <c r="AG7" i="9"/>
  <c r="AG15" i="9" s="1"/>
  <c r="K50" i="13" s="1"/>
  <c r="AB7" i="9"/>
  <c r="AB15" i="9" s="1"/>
  <c r="F50" i="13" s="1"/>
  <c r="AJ7" i="9"/>
  <c r="AJ15" i="9" s="1"/>
  <c r="N50" i="13" s="1"/>
  <c r="AE7" i="9"/>
  <c r="AE15" i="9" s="1"/>
  <c r="I50" i="13" s="1"/>
  <c r="Z15" i="9"/>
  <c r="D50" i="13" s="1"/>
  <c r="AF7" i="9"/>
  <c r="AF15" i="9" s="1"/>
  <c r="J50" i="13" s="1"/>
  <c r="AI15" i="7"/>
  <c r="N29" i="13" s="1"/>
  <c r="AD15" i="5"/>
  <c r="I18" i="13" s="1"/>
  <c r="AQ7" i="5"/>
  <c r="AF15" i="5"/>
  <c r="K18" i="13" s="1"/>
  <c r="M15" i="10"/>
  <c r="O7" i="10"/>
  <c r="O15" i="10" s="1"/>
  <c r="AM7" i="6"/>
  <c r="AV8" i="6" l="1"/>
  <c r="AZ8" i="6"/>
  <c r="AU8" i="6"/>
  <c r="BF8" i="6"/>
  <c r="AW8" i="6"/>
  <c r="AR8" i="6" s="1"/>
  <c r="AS8" i="6"/>
  <c r="AT8" i="6"/>
  <c r="AX8" i="6"/>
  <c r="BH9" i="9"/>
  <c r="AN15" i="12"/>
  <c r="S39" i="13" s="1"/>
  <c r="AV7" i="12"/>
  <c r="AV15" i="12" s="1"/>
  <c r="AA39" i="13" s="1"/>
  <c r="AR7" i="12"/>
  <c r="AZ7" i="12"/>
  <c r="AT7" i="12"/>
  <c r="BF7" i="12"/>
  <c r="AU7" i="12"/>
  <c r="AW7" i="12"/>
  <c r="AS7" i="12"/>
  <c r="AS15" i="12" s="1"/>
  <c r="X39" i="13" s="1"/>
  <c r="AX7" i="12"/>
  <c r="AQ7" i="12"/>
  <c r="C117" i="14"/>
  <c r="AN7" i="3"/>
  <c r="AV9" i="7"/>
  <c r="BU9" i="7" s="1"/>
  <c r="AZ8" i="12"/>
  <c r="AU8" i="12"/>
  <c r="AT8" i="12"/>
  <c r="BF8" i="12"/>
  <c r="AV8" i="12"/>
  <c r="AX8" i="12"/>
  <c r="AW8" i="12"/>
  <c r="AQ8" i="12" s="1"/>
  <c r="BO8" i="12" s="1"/>
  <c r="AR8" i="12"/>
  <c r="AS8" i="12"/>
  <c r="BE7" i="7"/>
  <c r="BE15" i="7" s="1"/>
  <c r="AJ29" i="13" s="1"/>
  <c r="AZ7" i="7"/>
  <c r="AZ15" i="7" s="1"/>
  <c r="AE29" i="13" s="1"/>
  <c r="BC7" i="7"/>
  <c r="BC15" i="7" s="1"/>
  <c r="AH29" i="13" s="1"/>
  <c r="AX7" i="7"/>
  <c r="AX15" i="7" s="1"/>
  <c r="AC29" i="13" s="1"/>
  <c r="AR15" i="7"/>
  <c r="W29" i="13" s="1"/>
  <c r="BB7" i="7"/>
  <c r="BB15" i="7" s="1"/>
  <c r="AG29" i="13" s="1"/>
  <c r="AY7" i="7"/>
  <c r="AY15" i="7" s="1"/>
  <c r="AD29" i="13" s="1"/>
  <c r="BA7" i="7"/>
  <c r="BA15" i="7" s="1"/>
  <c r="AF29" i="13" s="1"/>
  <c r="BL7" i="7"/>
  <c r="BL15" i="7" s="1"/>
  <c r="AQ29" i="13" s="1"/>
  <c r="AR9" i="6"/>
  <c r="BO9" i="6" s="1"/>
  <c r="AQ8" i="5"/>
  <c r="AQ15" i="5" s="1"/>
  <c r="V18" i="13" s="1"/>
  <c r="AV8" i="7"/>
  <c r="BU8" i="7" s="1"/>
  <c r="AX7" i="6"/>
  <c r="AT7" i="6"/>
  <c r="AT15" i="6" s="1"/>
  <c r="Y24" i="13" s="1"/>
  <c r="AM15" i="6"/>
  <c r="R24" i="13" s="1"/>
  <c r="BF7" i="6"/>
  <c r="BF15" i="6" s="1"/>
  <c r="AK24" i="13" s="1"/>
  <c r="AW7" i="6"/>
  <c r="AW15" i="6" s="1"/>
  <c r="AB24" i="13" s="1"/>
  <c r="AS7" i="6"/>
  <c r="AS15" i="6" s="1"/>
  <c r="X24" i="13" s="1"/>
  <c r="AZ7" i="6"/>
  <c r="AZ15" i="6" s="1"/>
  <c r="AE24" i="13" s="1"/>
  <c r="AU7" i="6"/>
  <c r="AU15" i="6" s="1"/>
  <c r="Z24" i="13" s="1"/>
  <c r="AV7" i="6"/>
  <c r="AV15" i="6" s="1"/>
  <c r="AA24" i="13" s="1"/>
  <c r="AR7" i="6"/>
  <c r="BB7" i="5"/>
  <c r="AX7" i="5"/>
  <c r="BD7" i="5"/>
  <c r="AY7" i="5"/>
  <c r="AZ7" i="5"/>
  <c r="BK7" i="5"/>
  <c r="AW7" i="5"/>
  <c r="BA7" i="5"/>
  <c r="AK7" i="9"/>
  <c r="AX9" i="12"/>
  <c r="AT9" i="12"/>
  <c r="BF9" i="12"/>
  <c r="AV9" i="12"/>
  <c r="AW9" i="12"/>
  <c r="AQ9" i="12" s="1"/>
  <c r="BO9" i="12" s="1"/>
  <c r="AR9" i="12"/>
  <c r="AU9" i="12"/>
  <c r="AS9" i="12"/>
  <c r="AZ9" i="12"/>
  <c r="AL7" i="10"/>
  <c r="AT8" i="10"/>
  <c r="AP8" i="10"/>
  <c r="AZ8" i="10"/>
  <c r="AQ8" i="10"/>
  <c r="AO8" i="10" s="1"/>
  <c r="BI8" i="10" s="1"/>
  <c r="AR8" i="10"/>
  <c r="Q15" i="10"/>
  <c r="BB9" i="5"/>
  <c r="AX9" i="5"/>
  <c r="BD9" i="5"/>
  <c r="AY9" i="5"/>
  <c r="BK9" i="5"/>
  <c r="AW9" i="5"/>
  <c r="BA9" i="5"/>
  <c r="AV9" i="5" s="1"/>
  <c r="AZ9" i="5"/>
  <c r="Q15" i="9"/>
  <c r="AR15" i="6" l="1"/>
  <c r="W24" i="13" s="1"/>
  <c r="AL15" i="10"/>
  <c r="P44" i="13" s="1"/>
  <c r="AT7" i="10"/>
  <c r="AT15" i="10" s="1"/>
  <c r="X44" i="13" s="1"/>
  <c r="AO7" i="10"/>
  <c r="AO15" i="10" s="1"/>
  <c r="S44" i="13" s="1"/>
  <c r="AZ7" i="10"/>
  <c r="AZ15" i="10" s="1"/>
  <c r="AD44" i="13" s="1"/>
  <c r="AQ7" i="10"/>
  <c r="AQ15" i="10" s="1"/>
  <c r="U44" i="13" s="1"/>
  <c r="AR7" i="10"/>
  <c r="AR15" i="10" s="1"/>
  <c r="V44" i="13" s="1"/>
  <c r="AQ7" i="9"/>
  <c r="AQ15" i="9" s="1"/>
  <c r="U50" i="13" s="1"/>
  <c r="AY7" i="9"/>
  <c r="AY15" i="9" s="1"/>
  <c r="AC50" i="13" s="1"/>
  <c r="AO7" i="9"/>
  <c r="AO15" i="9" s="1"/>
  <c r="S50" i="13" s="1"/>
  <c r="AN7" i="9"/>
  <c r="AN15" i="9" s="1"/>
  <c r="R50" i="13" s="1"/>
  <c r="AP7" i="9"/>
  <c r="AP15" i="9" s="1"/>
  <c r="T50" i="13" s="1"/>
  <c r="AS7" i="9"/>
  <c r="AS15" i="9" s="1"/>
  <c r="W50" i="13" s="1"/>
  <c r="AK15" i="9"/>
  <c r="O50" i="13" s="1"/>
  <c r="BH7" i="9"/>
  <c r="BH15" i="9" s="1"/>
  <c r="AL50" i="13" s="1"/>
  <c r="AX15" i="6"/>
  <c r="AC24" i="13" s="1"/>
  <c r="AV7" i="7"/>
  <c r="AX15" i="12"/>
  <c r="AC39" i="13" s="1"/>
  <c r="AU15" i="12"/>
  <c r="Z39" i="13" s="1"/>
  <c r="AR15" i="12"/>
  <c r="W39" i="13" s="1"/>
  <c r="BO7" i="12"/>
  <c r="BO15" i="12" s="1"/>
  <c r="AT39" i="13" s="1"/>
  <c r="AT15" i="12"/>
  <c r="Y39" i="13" s="1"/>
  <c r="AQ8" i="6"/>
  <c r="BO8" i="6" s="1"/>
  <c r="BG7" i="3"/>
  <c r="BG13" i="3" s="1"/>
  <c r="AL12" i="13" s="1"/>
  <c r="AX7" i="3"/>
  <c r="AX13" i="3" s="1"/>
  <c r="AC12" i="13" s="1"/>
  <c r="AT7" i="3"/>
  <c r="AT13" i="3" s="1"/>
  <c r="Y12" i="13" s="1"/>
  <c r="AY7" i="3"/>
  <c r="AY13" i="3" s="1"/>
  <c r="AD12" i="13" s="1"/>
  <c r="AV7" i="3"/>
  <c r="AV13" i="3" s="1"/>
  <c r="AA12" i="13" s="1"/>
  <c r="AU7" i="3"/>
  <c r="AU13" i="3" s="1"/>
  <c r="Z12" i="13" s="1"/>
  <c r="BA7" i="3"/>
  <c r="BA13" i="3" s="1"/>
  <c r="AF12" i="13" s="1"/>
  <c r="AN13" i="3"/>
  <c r="S12" i="13" s="1"/>
  <c r="AW7" i="3"/>
  <c r="AW13" i="3" s="1"/>
  <c r="AB12" i="13" s="1"/>
  <c r="BF15" i="12"/>
  <c r="AK39" i="13" s="1"/>
  <c r="AU9" i="5"/>
  <c r="BT9" i="5" s="1"/>
  <c r="AV7" i="5"/>
  <c r="AU7" i="5"/>
  <c r="AZ8" i="5"/>
  <c r="AZ15" i="5" s="1"/>
  <c r="AE18" i="13" s="1"/>
  <c r="BK8" i="5"/>
  <c r="BK15" i="5" s="1"/>
  <c r="AP18" i="13" s="1"/>
  <c r="BA8" i="5"/>
  <c r="BA15" i="5" s="1"/>
  <c r="AF18" i="13" s="1"/>
  <c r="AW8" i="5"/>
  <c r="AW15" i="5" s="1"/>
  <c r="AB18" i="13" s="1"/>
  <c r="AY8" i="5"/>
  <c r="AX8" i="5"/>
  <c r="AX15" i="5" s="1"/>
  <c r="AC18" i="13" s="1"/>
  <c r="BD8" i="5"/>
  <c r="BD15" i="5" s="1"/>
  <c r="AI18" i="13" s="1"/>
  <c r="BB8" i="5"/>
  <c r="BB15" i="5" s="1"/>
  <c r="AG18" i="13" s="1"/>
  <c r="AY15" i="5"/>
  <c r="AD18" i="13" s="1"/>
  <c r="AQ7" i="6"/>
  <c r="AW7" i="7"/>
  <c r="AW15" i="7" s="1"/>
  <c r="AB29" i="13" s="1"/>
  <c r="AQ15" i="12"/>
  <c r="V39" i="13" s="1"/>
  <c r="AW15" i="12"/>
  <c r="AB39" i="13" s="1"/>
  <c r="AZ15" i="12"/>
  <c r="AE39" i="13" s="1"/>
  <c r="C226" i="14" l="1"/>
  <c r="AV15" i="7"/>
  <c r="AA29" i="13" s="1"/>
  <c r="BU7" i="7"/>
  <c r="BU15" i="7" s="1"/>
  <c r="AZ29" i="13" s="1"/>
  <c r="C270" i="14"/>
  <c r="C269" i="14" s="1"/>
  <c r="C268" i="14" s="1"/>
  <c r="C319" i="14" s="1"/>
  <c r="AQ15" i="6"/>
  <c r="V24" i="13" s="1"/>
  <c r="BO7" i="6"/>
  <c r="BO15" i="6" s="1"/>
  <c r="AT24" i="13" s="1"/>
  <c r="BT7" i="5"/>
  <c r="AR7" i="3"/>
  <c r="AS7" i="3"/>
  <c r="AS13" i="3" s="1"/>
  <c r="X12" i="13" s="1"/>
  <c r="AU8" i="5"/>
  <c r="AV8" i="5"/>
  <c r="AV15" i="5" s="1"/>
  <c r="AA18" i="13" s="1"/>
  <c r="C170" i="14"/>
  <c r="C166" i="14"/>
  <c r="C168" i="14"/>
  <c r="C169" i="14"/>
  <c r="C252" i="14"/>
  <c r="AP7" i="10"/>
  <c r="AP15" i="10" s="1"/>
  <c r="T44" i="13" s="1"/>
  <c r="BI7" i="10"/>
  <c r="BI15" i="10" s="1"/>
  <c r="AM44" i="13" s="1"/>
  <c r="BT8" i="5" l="1"/>
  <c r="AU15" i="5"/>
  <c r="Z18" i="13" s="1"/>
  <c r="C139" i="14"/>
  <c r="AR13" i="3"/>
  <c r="W12" i="13" s="1"/>
  <c r="C141" i="14" s="1"/>
  <c r="BP7" i="3"/>
  <c r="BP13" i="3" s="1"/>
  <c r="BT15" i="5"/>
  <c r="AY18" i="13" s="1"/>
  <c r="D56" i="13" l="1"/>
  <c r="AU12" i="13"/>
  <c r="D55" i="13" s="1"/>
  <c r="C321" i="14" s="1"/>
  <c r="C323" i="14" s="1"/>
  <c r="D57" i="13" l="1"/>
</calcChain>
</file>

<file path=xl/sharedStrings.xml><?xml version="1.0" encoding="utf-8"?>
<sst xmlns="http://schemas.openxmlformats.org/spreadsheetml/2006/main" count="2491" uniqueCount="1006">
  <si>
    <t>CÓDIGO ENTE:</t>
  </si>
  <si>
    <t>A0000</t>
  </si>
  <si>
    <t>NOMBRE ENTE:</t>
  </si>
  <si>
    <t>INSTITUCIÓN MODELO</t>
  </si>
  <si>
    <t>MES A REPORTAR:</t>
  </si>
  <si>
    <t>SEPTIEMBRE</t>
  </si>
  <si>
    <t>DATOS RELATIVOS AL CALCULO</t>
  </si>
  <si>
    <t>SALARIO MÍNIMO</t>
  </si>
  <si>
    <t>INDIQUE VALOR DE LA UNIDAD TRIBUTARIA VIGENTE</t>
  </si>
  <si>
    <t>Valor del Cesta-ticket Socialista</t>
  </si>
  <si>
    <t>Indìque Nº de dìas para el pago del Cesta Ticket</t>
  </si>
  <si>
    <t>GENERO</t>
  </si>
  <si>
    <t>APORTES PATRONALES</t>
  </si>
  <si>
    <t>%</t>
  </si>
  <si>
    <t>MASCULINO</t>
  </si>
  <si>
    <t>SSO</t>
  </si>
  <si>
    <t>FEMENINO</t>
  </si>
  <si>
    <t>FJP</t>
  </si>
  <si>
    <t>PRIMA DE PROFESIONALIZACIÓN</t>
  </si>
  <si>
    <t>ESTATUS</t>
  </si>
  <si>
    <t>NOMINA</t>
  </si>
  <si>
    <t>CATEGORÍA</t>
  </si>
  <si>
    <t>FAOV (LPH)</t>
  </si>
  <si>
    <t>NIVEL EDUCATIVO</t>
  </si>
  <si>
    <t>N.º</t>
  </si>
  <si>
    <t>ACTIVO</t>
  </si>
  <si>
    <t>FIJO</t>
  </si>
  <si>
    <t>ALTO NIVEL</t>
  </si>
  <si>
    <t>SPF</t>
  </si>
  <si>
    <t>NO REGISTRADO</t>
  </si>
  <si>
    <t>PASIVO</t>
  </si>
  <si>
    <t>JUBILADO</t>
  </si>
  <si>
    <t>DOCENTE</t>
  </si>
  <si>
    <t>CAJA DE AHORRO</t>
  </si>
  <si>
    <t>BÁSICA</t>
  </si>
  <si>
    <t>CONTRATADO</t>
  </si>
  <si>
    <t>ADMINISTRATIVO</t>
  </si>
  <si>
    <t>MEDIA</t>
  </si>
  <si>
    <t>PENSIONADO</t>
  </si>
  <si>
    <t>OBRERO</t>
  </si>
  <si>
    <t>T.S.U.</t>
  </si>
  <si>
    <t>UNIVERSITARIA</t>
  </si>
  <si>
    <t>PRESTACIONES TRIMESTRALES</t>
  </si>
  <si>
    <t>ESPECIALISTA</t>
  </si>
  <si>
    <t>DÍAS</t>
  </si>
  <si>
    <t>5 DÍAS</t>
  </si>
  <si>
    <t>MAGISTER</t>
  </si>
  <si>
    <t>DOCTORADO</t>
  </si>
  <si>
    <t>POSDOCTORADO</t>
  </si>
  <si>
    <t>MESES</t>
  </si>
  <si>
    <t>Nº Lunes</t>
  </si>
  <si>
    <t>FECHA</t>
  </si>
  <si>
    <t>DÍAS ADICIONALES DE PRESTACIONES</t>
  </si>
  <si>
    <t>ENERO</t>
  </si>
  <si>
    <t>ANTIGÜEDAD DÍAS</t>
  </si>
  <si>
    <t>DÍAS ADIC</t>
  </si>
  <si>
    <t>ANTIGÜEDAD AÑOS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</si>
  <si>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</si>
  <si>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</si>
  <si>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</si>
  <si>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</si>
  <si>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</si>
  <si>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</si>
  <si>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</si>
  <si>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</si>
  <si>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</si>
  <si>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</si>
  <si>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ANTIGÜEDAD</t>
  </si>
  <si>
    <t>PAGO DE LEY ALIMENTACIÓN</t>
  </si>
  <si>
    <t>DENOMINACIÓN DEL CARGO</t>
  </si>
  <si>
    <t>DEDICACIÓN</t>
  </si>
  <si>
    <t>Ticket Alimentación</t>
  </si>
  <si>
    <t>Proporción Tiempo Convencional</t>
  </si>
  <si>
    <t>Dedicación Exclusiva</t>
  </si>
  <si>
    <t>Tiempo Completo</t>
  </si>
  <si>
    <t>Medio Tiempo</t>
  </si>
  <si>
    <t>TCV 12 HRS</t>
  </si>
  <si>
    <t>TCV 11 HRS</t>
  </si>
  <si>
    <t>TCV 10 HRS</t>
  </si>
  <si>
    <t>TCV 9 HRS</t>
  </si>
  <si>
    <t>TCV 8 HRS</t>
  </si>
  <si>
    <t>TCV 7 Hrs</t>
  </si>
  <si>
    <t>TCV 6 Hrs</t>
  </si>
  <si>
    <t>TCV 5 Hrs</t>
  </si>
  <si>
    <t>TCV 4 Hrs</t>
  </si>
  <si>
    <t>TCV 3 Hrs</t>
  </si>
  <si>
    <t>TCV 2 Hrs</t>
  </si>
  <si>
    <t>201/ 202 / Bachiller I</t>
  </si>
  <si>
    <t>203/ Bachiller II</t>
  </si>
  <si>
    <t>204/ Bachiller III</t>
  </si>
  <si>
    <t>301/ 302/ Técnico I</t>
  </si>
  <si>
    <t>303/ Técnico II</t>
  </si>
  <si>
    <t>401/ 402/ Profesional I</t>
  </si>
  <si>
    <t>403/ 404/ Profesional II</t>
  </si>
  <si>
    <t>405/ 406/ Profesional III</t>
  </si>
  <si>
    <t>407/ 408</t>
  </si>
  <si>
    <t>1/ 2/ 3</t>
  </si>
  <si>
    <t>TABLA DE SUELDOS Y SALARIOS VIGENTE DESDE 01/03/2018 III CCU</t>
  </si>
  <si>
    <t>N°</t>
  </si>
  <si>
    <t>CATEGORIA</t>
  </si>
  <si>
    <t>DEFINICIÓN</t>
  </si>
  <si>
    <t>CARGOS</t>
  </si>
  <si>
    <t>SALARIO BASE</t>
  </si>
  <si>
    <t>RESUMEN DE CARGOS</t>
  </si>
  <si>
    <t>RESUMEN DE DEDICACIÓN</t>
  </si>
  <si>
    <t>RECTOR</t>
  </si>
  <si>
    <t>EMPLEADO</t>
  </si>
  <si>
    <t>INSTRUCTOR</t>
  </si>
  <si>
    <t>ASISTENTE</t>
  </si>
  <si>
    <t>AGREGADO</t>
  </si>
  <si>
    <t>ASOCIADO</t>
  </si>
  <si>
    <t>TITULAR</t>
  </si>
  <si>
    <t>AUXILIAR DOCENTE I</t>
  </si>
  <si>
    <t>AUXILIAR DOCENTE II</t>
  </si>
  <si>
    <t>AUXILIAR DOCENTE III</t>
  </si>
  <si>
    <t>APOYO NIVEL 1</t>
  </si>
  <si>
    <t>APOYO NIVEL 2</t>
  </si>
  <si>
    <t>APOYO NIVEL 3</t>
  </si>
  <si>
    <t>APOYO NIVEL 4</t>
  </si>
  <si>
    <t>APOYO NIVEL 5</t>
  </si>
  <si>
    <t>TÉCNICO NIVEL 6</t>
  </si>
  <si>
    <t>TÉCNICO NIVEL 7</t>
  </si>
  <si>
    <t>TÉCNICO NIVEL 8</t>
  </si>
  <si>
    <t>TÉCNICO NIVEL 9</t>
  </si>
  <si>
    <t>TÉCNICO NIVEL 10</t>
  </si>
  <si>
    <t>PROFESIONAL NIVEL 11</t>
  </si>
  <si>
    <t>PROFESIONAL NIVEL 12</t>
  </si>
  <si>
    <t>PROFESIONAL NIVEL 13</t>
  </si>
  <si>
    <t>PROFESIONAL NIVEL 14</t>
  </si>
  <si>
    <t>PROFESIONAL NIVEL 15</t>
  </si>
  <si>
    <t>POR FAVOR NO INSERTAR FILAS EN ESTA POSICION Y MUCHO MENOS DESPUES DE ELLA, HACERLO EN LAS FILAS ANTERIORES</t>
  </si>
  <si>
    <t>NOMINA ALTO NIVEL</t>
  </si>
  <si>
    <t>DESCRIPCIÓN DEL BENEFICIO</t>
  </si>
  <si>
    <t>Unidad Tributaria</t>
  </si>
  <si>
    <t>1. Datos</t>
  </si>
  <si>
    <t>Días</t>
  </si>
  <si>
    <t>Salario Mínimo</t>
  </si>
  <si>
    <t>MONTO DEL BENEFICIO</t>
  </si>
  <si>
    <t>N.º DE LA CLÁUSULA</t>
  </si>
  <si>
    <t>2ª</t>
  </si>
  <si>
    <t>4ª</t>
  </si>
  <si>
    <t>5ª</t>
  </si>
  <si>
    <t>6ª</t>
  </si>
  <si>
    <t>7ª</t>
  </si>
  <si>
    <t>11ª</t>
  </si>
  <si>
    <t>18ª</t>
  </si>
  <si>
    <t>19ª</t>
  </si>
  <si>
    <t>20ª</t>
  </si>
  <si>
    <t>Ley</t>
  </si>
  <si>
    <t>8ª</t>
  </si>
  <si>
    <t>9ª</t>
  </si>
  <si>
    <t>10ª</t>
  </si>
  <si>
    <t>13ª</t>
  </si>
  <si>
    <t>14ª</t>
  </si>
  <si>
    <t>15ª</t>
  </si>
  <si>
    <t>17ª</t>
  </si>
  <si>
    <t>DATOS BÁSICOS</t>
  </si>
  <si>
    <t>ANTIGÜEDAD Y PRESTACIONES</t>
  </si>
  <si>
    <t>REGISTROS BENEFICIOS SOCIALES Y ECONÓMICOS</t>
  </si>
  <si>
    <t>PRIMAS</t>
  </si>
  <si>
    <t>SALARIO NORMAL</t>
  </si>
  <si>
    <t>COMPLEMENTOS DE SUELDOS Y SALARIOS</t>
  </si>
  <si>
    <t>AGUINALDOS, UTILIDADES O BONIFICACIÓN LEGAL, Y BONO VACACIONAL.</t>
  </si>
  <si>
    <t>BENEFICIOS SOCIO-ECONÓMICOS</t>
  </si>
  <si>
    <t>SERVICIOS NO PERSONALES ASOCIADOS A GASTOS DE PERSONAL</t>
  </si>
  <si>
    <t>SUBSIDIOS A ORGANISMOS GREMIALES</t>
  </si>
  <si>
    <t>CEDULA</t>
  </si>
  <si>
    <t>APELLIDO
Y
NOMBRE</t>
  </si>
  <si>
    <t>GÉNERO</t>
  </si>
  <si>
    <t>FECHA
DE
INGRESO</t>
  </si>
  <si>
    <t>NÓMINA</t>
  </si>
  <si>
    <t>CARGO</t>
  </si>
  <si>
    <t>APLICA PRIMA PARA CHOFERES Y SUPERVISORES</t>
  </si>
  <si>
    <t>SALARIO
TABLA</t>
  </si>
  <si>
    <t>AÑOS DE
ANTIGÜEDAD
EN EL ENTE</t>
  </si>
  <si>
    <t>ANTIGÜEDAD EN OTROS IEU</t>
  </si>
  <si>
    <t>AÑOS DE
ANTIGÜEDAD
ACUMULADA</t>
  </si>
  <si>
    <t>PRESTACIONES SOCIALES MENSUALES (5 DÍAS)</t>
  </si>
  <si>
    <t>DIAS ADICIONALES PRESTACIONES SOCIALES</t>
  </si>
  <si>
    <t>HORAS EXTRAS DIURNAS TRABAJADAS</t>
  </si>
  <si>
    <t>HORAS EXTRAS NOCTURNAS TRABAJADAS</t>
  </si>
  <si>
    <t>DIAS FERIADOS TRABAJADOS</t>
  </si>
  <si>
    <t>N° HIJOS BECA (HASTA 25 AÑOS)</t>
  </si>
  <si>
    <t>N° HIJOS GUARDERIA HASTA 6 AÑOS</t>
  </si>
  <si>
    <t>N° HIJOS DISCAPACITADOS PRIMA</t>
  </si>
  <si>
    <t>N° HIJOS JUGUETES HASTA 17 AÑOS</t>
  </si>
  <si>
    <t>GRADO DE INSTRUCCIÓN TRABAJADOR
(Seleccione)</t>
  </si>
  <si>
    <t>SUELDO BÁSICO ALTO NIVEL</t>
  </si>
  <si>
    <t>DIFERENCIAS SUELDO BASE ALTO NIVEL</t>
  </si>
  <si>
    <t>HORAS EXTRAS DIURNAS ALTO NIVEL</t>
  </si>
  <si>
    <t>HORAS EXTRAS NOCTURNAS ALTO NIVEL</t>
  </si>
  <si>
    <t>DÍAS FERIADOS LABORADOS ALTO NIVEL</t>
  </si>
  <si>
    <t>PRIMA PARA LA ATENCION DE HIJAS E HIJOS CON DISCAPACIDAD. 200 U.T. POR HIJO</t>
  </si>
  <si>
    <t>PRIMAR FAMILIAR 300 U.T MENSUAL</t>
  </si>
  <si>
    <t>PRIMA DE APOYO A LA ACTIVIDAD DOCENTE Y DE INVESTIGACIÒN</t>
  </si>
  <si>
    <t>PRIMA POR ANTIGUEDAD</t>
  </si>
  <si>
    <t>PRIMA PARA CHOFERES Y SUPERVISORES</t>
  </si>
  <si>
    <t>PRIMA POR ESPECIALIZACIÓN PARA DOCENTE</t>
  </si>
  <si>
    <t>PRIMA POR MAESTRÍA PARA DOCENTE</t>
  </si>
  <si>
    <t>PRIMA POR DOCTORADO PARA DOCENTE</t>
  </si>
  <si>
    <t>PRIMA POR CARGO, RESPONSABILIDAD O JERARQUÍA</t>
  </si>
  <si>
    <t>BONO ALIMENTACÍON ALTO NIVEL</t>
  </si>
  <si>
    <t>COLOQUE SUS DATOS AQUI BONO COMPENSATORIO</t>
  </si>
  <si>
    <t>DIFERENCIA A PAGAR POR BONO ALIMENTACION ALTO NIVEL</t>
  </si>
  <si>
    <t>BONO VACACIONAL ALTO NIVEL</t>
  </si>
  <si>
    <t>BONIFICACIÓN DE FIN DE AÑO ALTO NIVEL</t>
  </si>
  <si>
    <t>APORTE SSO ALTO NIVEL</t>
  </si>
  <si>
    <t>APORTE FJP ALTO NIVEL</t>
  </si>
  <si>
    <t>APORTE SPF ALTO NIVEL</t>
  </si>
  <si>
    <t>APORTE FAOV ALTO NIVEL</t>
  </si>
  <si>
    <t>APORTE CAJA DE AHORROS ALTO NIVEL</t>
  </si>
  <si>
    <t>PRESTACIONES SOCIALES ALTO NIVEL</t>
  </si>
  <si>
    <t>APORTE PATRONAL A LOS SERVICIOS DE SALUD, ACCIDENTES PERSONALES Y GASTOS FUNERARIOS POR PERSONAL DE ALTO NIVEL Y DE DIRECCIÓN</t>
  </si>
  <si>
    <t>BECA PARA ESTUDIOS DE LAS HIJAS E HIJOS DE LAS TRABAJADORAS Y TRABAJADORES UNIVERSITARIOS</t>
  </si>
  <si>
    <t>CONTRIBUCIÓN PARA JUGUETES NAVIDEÑOS DE LAS HIJAS E HIJOS DE LAS TRABAJADORAS Y TRABAJADORES</t>
  </si>
  <si>
    <t>APORTE POR MATRIMONIO</t>
  </si>
  <si>
    <t>CONTRIBUCIÓN PARA LA ADQUISICIÓN DE ÚTILES ESCOLARES</t>
  </si>
  <si>
    <t>APORTE POR NACIMIENTO DE HIJAS E HIJOS</t>
  </si>
  <si>
    <t>GUARDERÍA PARA HIJOS LOS TRABAJADORES</t>
  </si>
  <si>
    <t>COMISIONES Y GASTOS BANCARIOS</t>
  </si>
  <si>
    <t>COMISIONES Y GASTOS DE ADQUISICIÓN DE SEGUROS</t>
  </si>
  <si>
    <t>SERVICIOS DE CAPACITACIÓN Y ADIESTRAMIENTO</t>
  </si>
  <si>
    <t>SERVICIOS DE DIVERSIÓN, ESPARCIMIENTO Y CULTURALES (ALMUERZO NAVIDEÑO)</t>
  </si>
  <si>
    <t>IMPUESTO AL VALOR AGREGADO
(IVA)</t>
  </si>
  <si>
    <t>COMISIONES POR SERVICIOS PARA CUMPLIR CON LOS BENEFICIOS SOCIALES</t>
  </si>
  <si>
    <t>OTROS SERVICIOS NO PERSONALES</t>
  </si>
  <si>
    <t>APORTE A LA PREVISIÓN SOCIAL</t>
  </si>
  <si>
    <t>FINANCIAMIENTO DE ACTIVIDADES SINDICALES</t>
  </si>
  <si>
    <t>MONTO MENSUAL</t>
  </si>
  <si>
    <t>COLOCAR LA PARTIDA POR LA CUAL SE IMPUTARÁ</t>
  </si>
  <si>
    <t>4.01.01.36.00</t>
  </si>
  <si>
    <t>4.01.04.51.00</t>
  </si>
  <si>
    <t>4.01.05.18.00</t>
  </si>
  <si>
    <t>4.01.05.16.00</t>
  </si>
  <si>
    <t>4.01.06.39.00</t>
  </si>
  <si>
    <t>4.01.06.41.00</t>
  </si>
  <si>
    <t>4.01.06.42.00</t>
  </si>
  <si>
    <t>4.01.06.43.00</t>
  </si>
  <si>
    <t>4.01.07.68.00</t>
  </si>
  <si>
    <t>4.01.08.07.00</t>
  </si>
  <si>
    <t>4.01.07.69.00</t>
  </si>
  <si>
    <t>4.03.08.02.00</t>
  </si>
  <si>
    <t>4.03.08.03.00</t>
  </si>
  <si>
    <t>4.03.10.07.00</t>
  </si>
  <si>
    <t>4.03.16.01.00</t>
  </si>
  <si>
    <t>4.03.18.01.00</t>
  </si>
  <si>
    <t>4.03.19.01.00</t>
  </si>
  <si>
    <t>4.03.99.01.00</t>
  </si>
  <si>
    <t>4.07.01.01.75</t>
  </si>
  <si>
    <t>TOTAL TRABAJADORES</t>
  </si>
  <si>
    <t>NOMINA DETALLE COMISIÓN</t>
  </si>
  <si>
    <t>TABLAS</t>
  </si>
  <si>
    <t>CONCEPTOS CALCULADOS CON SALARIO BASE</t>
  </si>
  <si>
    <t>CONCEPTOS CALCULADOS POR UNIDAD TRIBUTARIA (UT)</t>
  </si>
  <si>
    <t>CONCEPTOS CALCULADOS CON SALARIO NORMAL MENSUAL</t>
  </si>
  <si>
    <t>CONCEPTOS CALCULADOS CON SALARIO INTEGRAL MENSUAL</t>
  </si>
  <si>
    <t>CONCEPTOS VARIABLES, FIJOS CON MONTOS UNICOS</t>
  </si>
  <si>
    <t>TOTAL COSTO</t>
  </si>
  <si>
    <t>DATOS BASICOS</t>
  </si>
  <si>
    <t>REGISTROS BENEFICIOS SOCIALES Y ECONOMICOS</t>
  </si>
  <si>
    <t>COMPLEMENTO MENSUAL</t>
  </si>
  <si>
    <t>AÑOS DE
ANTIGÜEDAD
OTROS ENTES O APN</t>
  </si>
  <si>
    <t>PRESTACIONES SOCIALES TRIMESTRALES 15 DIAS</t>
  </si>
  <si>
    <t>N° HIJOS PRIMA</t>
  </si>
  <si>
    <t>N° HIJOS BECAS MAYOR 6 AÑOS</t>
  </si>
  <si>
    <t>N° HIJOS DISCAPACITADOS GUARDERIA HASTA 6 AÑOS</t>
  </si>
  <si>
    <t>N° HIJOS JUGUETES HASTA 13 AÑOS</t>
  </si>
  <si>
    <t>GRADO DE INSTRUCCIÓN TRABAJADOR
1.- Básico  2.- Media
3.- TSU  4.- Universitaria
5.- Especialista  6.- Magister
7.- Doctorado  8.- Posdoctorado</t>
  </si>
  <si>
    <t>PRIMA JERARQUIA O RESPONSABILIDAD
0.-No
1.- SI</t>
  </si>
  <si>
    <t>HORAS EXTRAS TRABAJADAS</t>
  </si>
  <si>
    <t>HORAS NOCTURNAS TRABAJADAS</t>
  </si>
  <si>
    <t>DISPONIBLE</t>
  </si>
  <si>
    <t>COMPLEMENTO A EMPLEADOS POR COMISIÓN DE SERVICIOS</t>
  </si>
  <si>
    <t>PRIMA DE PROFESIONALIZACION</t>
  </si>
  <si>
    <t>PRIMA DEL BUEN VIVIR ALTO NIVEL</t>
  </si>
  <si>
    <t>PRIMA COMPLEMENTARIA ALTO NIVEL</t>
  </si>
  <si>
    <t>PRIMA DE ANTIGÜEDAD</t>
  </si>
  <si>
    <t>REMUNERACION  ESPECIAL MENSUAL</t>
  </si>
  <si>
    <t>AYUDA ESCOLAR (MENSUAL)</t>
  </si>
  <si>
    <t>CONCEPTO 10</t>
  </si>
  <si>
    <t>AYUDAS PARA ADQUISICIÓN DE UNIFORMES Y ÚTILES ESCOLARES DE SUS HIJOS (Anual)</t>
  </si>
  <si>
    <t>AYUDA DE TRANSPORTE</t>
  </si>
  <si>
    <t>BONO CESTA TICKET NAVIDEÑO</t>
  </si>
  <si>
    <t>APORTES PARA LA ADQUISICIÓN DE JUGUETES PARA LOS HIJOS DEL PERSONAL</t>
  </si>
  <si>
    <t>CESTA NAVIDEÑA</t>
  </si>
  <si>
    <t>CONCEPTO 1</t>
  </si>
  <si>
    <t>CONCEPTO 2</t>
  </si>
  <si>
    <t>CONCEPTO 3</t>
  </si>
  <si>
    <t>CONCEPTO 4</t>
  </si>
  <si>
    <t>BONO VACACIONAL</t>
  </si>
  <si>
    <t>BONO FIN DE AÑO</t>
  </si>
  <si>
    <t>REMUNERACION ESPECIAL ANUAL (REA)</t>
  </si>
  <si>
    <t>BONO MINERO</t>
  </si>
  <si>
    <t>BONO DE 7 DIAS</t>
  </si>
  <si>
    <t>GUARDERIA PARA HIJOS DE EMPLEADOS</t>
  </si>
  <si>
    <t>BONO DE SEGURIDAD SOCIAL</t>
  </si>
  <si>
    <t>CONCEPTO 5</t>
  </si>
  <si>
    <t>PRESTACIONES SOCIALES 4to TRIMESTRE</t>
  </si>
  <si>
    <t>COMISIONES Y GASTOS DE ADQUISICION DE SEGUROS</t>
  </si>
  <si>
    <t>SERVICIOS DE CAPACITACION Y ADIESTRAMIENTO</t>
  </si>
  <si>
    <t>SERVICIOS DE DIVERSION, ESPARCIMIENTO Y CULTURALES</t>
  </si>
  <si>
    <t>CONCEPTO 6</t>
  </si>
  <si>
    <t>CONCEPTO 7</t>
  </si>
  <si>
    <t>CONCEPTO 8</t>
  </si>
  <si>
    <t>MONTO MENSUAL POR CARGOS SEGUN FRECUENCIA</t>
  </si>
  <si>
    <t>4.01.04.06.00</t>
  </si>
  <si>
    <t>4.01.04.49.00</t>
  </si>
  <si>
    <t>4.01.03.49.00</t>
  </si>
  <si>
    <t>4.01.03.47.00</t>
  </si>
  <si>
    <t>4.01.03.09.00</t>
  </si>
  <si>
    <t>4.01.07.96.00</t>
  </si>
  <si>
    <t>4.01.07.02.00</t>
  </si>
  <si>
    <t>4.01.04.08.00</t>
  </si>
  <si>
    <t>4.01.07.12.00</t>
  </si>
  <si>
    <t>4.01.05.01.00</t>
  </si>
  <si>
    <t>4.01.07.11.00</t>
  </si>
  <si>
    <t>4.01.08.01.00</t>
  </si>
  <si>
    <t>TOTAL JUBILADOS</t>
  </si>
  <si>
    <t>NOMINA EMPLEADOS</t>
  </si>
  <si>
    <t>N.º HORAS EXTRAS DIURNAS TRABAJADAS</t>
  </si>
  <si>
    <t>N.º HORAS EXTRAS NOCTURNAS TRABAJADAS</t>
  </si>
  <si>
    <t>N.º DIAS FERIADOS TRABAJADOS</t>
  </si>
  <si>
    <t>SUELDO BÁSICO EMPLEADOS</t>
  </si>
  <si>
    <t>DIFERENCIAS SUELDO BASE EMPLEADOS</t>
  </si>
  <si>
    <t>HORAS EXTRAS DIURNAS EMPLEADOS</t>
  </si>
  <si>
    <t>HORAS EXTRAS NOCTURNAS EMPLEADOS</t>
  </si>
  <si>
    <t>DÍAS FERIADOS LABORADOS EMPLEADOS</t>
  </si>
  <si>
    <t>COLOQUE SUS DATOS AQUI</t>
  </si>
  <si>
    <t>BONO ALIMENTACÍON EMPLEADOS</t>
  </si>
  <si>
    <t>COLOQUE SUS DATSO AQUI BONO COMPENSATORIO</t>
  </si>
  <si>
    <t>DIFERENCIA A PAGAR POR BONO ALIMENTACION EMPLEADOS</t>
  </si>
  <si>
    <t>BONO VACACIONAL EMPLEADOS</t>
  </si>
  <si>
    <t>BONIFICACIÓN DE FIN DE AÑO EMPLEADOS</t>
  </si>
  <si>
    <t>APORTE SSO EMPLEADOS</t>
  </si>
  <si>
    <t>APORTE FJP EMPLEADOS</t>
  </si>
  <si>
    <t>APORTE SPF EMPLEADOS</t>
  </si>
  <si>
    <t>APORTE FAOV EMPLEADOS</t>
  </si>
  <si>
    <t>APORTE CAJA DE AHORROS EMPLEADOS</t>
  </si>
  <si>
    <t>PRESTACIONES SOCIALES EMPLEADOS</t>
  </si>
  <si>
    <t>APORTE PATRONAL A LOS SERVICIOS DE SALUD, ACCIDENTES PERSONALES Y GASTOS FUNERARIOS POR PERSONAL DE EMPLEADOS Y DE DIRECCIÓN</t>
  </si>
  <si>
    <t>COMPLEMENTOS DE BECA PERSONAL DOCENTE</t>
  </si>
  <si>
    <t>NOMINA OBREROS</t>
  </si>
  <si>
    <t>SALARIO BÁSICO OBREROS</t>
  </si>
  <si>
    <t>DIFERENCIAS SUELDO BASE OBREROS</t>
  </si>
  <si>
    <t>HORAS EXTRAS DIURNAS OBREROS</t>
  </si>
  <si>
    <t>HORAS EXTRAS NOCTURNAS OBREROS</t>
  </si>
  <si>
    <t>DOMINGOS Y DÍAS FERIADOS LABORADOS OBREROS</t>
  </si>
  <si>
    <t>PRIMA PARA LA ATENCION DE HIJAS E HIJOS CON DISCAPACIDAD. 250 U.T. POR HIJO</t>
  </si>
  <si>
    <t>BONO ALIMENTACÍON OBREROS</t>
  </si>
  <si>
    <t>DIFERENCIA A PAGAR POR BONO ALIMENTACION OBREROS</t>
  </si>
  <si>
    <t>BONO VACACIONAL OBREROS</t>
  </si>
  <si>
    <t>BONIFICACIÓN DE FIN DE AÑO OBREROS</t>
  </si>
  <si>
    <t>APORTE SSO OBREROS</t>
  </si>
  <si>
    <t>APORTE FJP OBREROS</t>
  </si>
  <si>
    <t>APORTE SPF OBREROS</t>
  </si>
  <si>
    <t>APORTE FAOV OBREROS</t>
  </si>
  <si>
    <t>APORTE CAJA DE AHORROS OBREROS</t>
  </si>
  <si>
    <t>PRESTACIONES SOCIALES OBREROS</t>
  </si>
  <si>
    <t>APORTE PATRONAL A LOS SERVICIOS DE SALUD, ACCIDENTES PERSONALES Y GASTOS FUNERARIOS POR PERSONAL DE OBREROS Y DE DIRECCIÓN</t>
  </si>
  <si>
    <t>POR FAVOR NO INSERTAR FILAS EN ESTA POSICIÓN Y MUCHO MENOS DESPUES DE ELLA, HACERLO EN LAS FILAS ANTERIORES</t>
  </si>
  <si>
    <t>NOMINA CONTRATADOS</t>
  </si>
  <si>
    <t>SUELDO BÁSICO OBREROS</t>
  </si>
  <si>
    <t>COMPLEMENTOS DE BECAS</t>
  </si>
  <si>
    <t>4.01.01.18.01</t>
  </si>
  <si>
    <t>4.01.01.12.00</t>
  </si>
  <si>
    <t>HONORARIOS PROFESIONALES</t>
  </si>
  <si>
    <t>FECHA
DE
INICIO</t>
  </si>
  <si>
    <t>UNIDAD DONDE PRESTA APOYO</t>
  </si>
  <si>
    <t>MONTO A PAGAR</t>
  </si>
  <si>
    <t>IMPUESTO AL VALOR AGREGADO</t>
  </si>
  <si>
    <t>TOTAL</t>
  </si>
  <si>
    <t>4.01.01.18.02</t>
  </si>
  <si>
    <t>NOMINA PENSIONADOS</t>
  </si>
  <si>
    <t>FECHA DE INGRESO</t>
  </si>
  <si>
    <t>FECHA DE LA PENSIÓN</t>
  </si>
  <si>
    <t>PENSIONES EMPLEADOS</t>
  </si>
  <si>
    <t>PENSIÓN ALTO NIVEL</t>
  </si>
  <si>
    <t>PRIMA DISCAPACIDAD  PENSIONADOS</t>
  </si>
  <si>
    <t>PRIMA DE APOYO A LA ACTIVIDAD DOCENTE Y DE INVESTIGACIÓN</t>
  </si>
  <si>
    <t>PRIMA POR ANTIGÛEDAD</t>
  </si>
  <si>
    <t>BONO ASISTENCIAL JUBILADOS</t>
  </si>
  <si>
    <t>DIFERENCIA A PAGAR POR BONO ALIMENTACION PENSIONADOS</t>
  </si>
  <si>
    <t>BONO RECREACIONAL</t>
  </si>
  <si>
    <t>BONIFICACIÓN DE FIN DE AÑO PENSIONADOS</t>
  </si>
  <si>
    <t>APORTE CAJA DE AHORROS PENSIONADOS</t>
  </si>
  <si>
    <t>APORTE CAJA DE AHORRO PENSIONADO ALTO NIVEL</t>
  </si>
  <si>
    <t>APORTE PATRONAL A LOS SERVICIOS DE SALUD, ACCIDENTES PERSONALES Y GASTOS FUNERARIOS POR PERSONAL DE PENSIONADOS</t>
  </si>
  <si>
    <t>FINANCIAMIENTO DE ACITIVADES SINDICALES</t>
  </si>
  <si>
    <t>NOMINA JUBILADOS</t>
  </si>
  <si>
    <t>FECHA DE JUBILACIÓN</t>
  </si>
  <si>
    <t>JUBILACIÓN EMPLEADOS – OBREROS</t>
  </si>
  <si>
    <t>JUBILACIÓN ALTO NIVEL</t>
  </si>
  <si>
    <t>PRIMA DISCAPACIDAD  JUBILADOS</t>
  </si>
  <si>
    <t>PRIMA POR CARGO</t>
  </si>
  <si>
    <t>DIFERENCIA A PAGAR POR BONO ALIMENTACION JUBILADOS</t>
  </si>
  <si>
    <t>BONIFICACIÓN DE FIN DE AÑO JUBILADOS</t>
  </si>
  <si>
    <t>APORTE CAJA DE AHORROS JUBILADOS</t>
  </si>
  <si>
    <t>APORTE CAJA DE AHORRO JUBILADO ALTO NIVEL</t>
  </si>
  <si>
    <t>APORTE PATRONAL A LOS SERVICIOS DE SALUD, ACCIDENTES PERSONALES Y GASTOS FUNERARIOS POR PERSONAL DE JUBILADOS</t>
  </si>
  <si>
    <t>NOMINA DETALLE PENSIONADOS</t>
  </si>
  <si>
    <t>FECHA DE INCAPACITACION</t>
  </si>
  <si>
    <t>PENSION
MENSUAL</t>
  </si>
  <si>
    <t>AÑOS DE INCAPACITADO</t>
  </si>
  <si>
    <t>PENSIONES EMPLEADOS Y OBREROS</t>
  </si>
  <si>
    <t>PENSIONES ALTO NIVEL</t>
  </si>
  <si>
    <t>BONO ASISTENCIAL PENSIONADOS</t>
  </si>
  <si>
    <t>BONO ASISTENCIAL PENSIONADOS ALTO NIVEL</t>
  </si>
  <si>
    <t>APORTE CAJA DE AHORRO PENSIONADOS ALTO NIVEL</t>
  </si>
  <si>
    <t>HCM PENSIONADOS</t>
  </si>
  <si>
    <t>4.07.01.01.01</t>
  </si>
  <si>
    <t>4.07.01.05.02</t>
  </si>
  <si>
    <t>4.07.01.01.12</t>
  </si>
  <si>
    <t>4.07.01.05.99</t>
  </si>
  <si>
    <t>4.07.01.01.10</t>
  </si>
  <si>
    <t>4.07.01.05.12</t>
  </si>
  <si>
    <t>4.07.01.01.11</t>
  </si>
  <si>
    <t>PENSIONADOS</t>
  </si>
  <si>
    <t>TOTAL PENSIONADOS</t>
  </si>
  <si>
    <t>NOMINA COMISIÓN DE SERVICIOS</t>
  </si>
  <si>
    <t>COMPLEMENTO POR COMISIÓN DE SERVICIOS</t>
  </si>
  <si>
    <t>COMPLEMENTO  POR COMISIÓN DE SERVICIOS</t>
  </si>
  <si>
    <t>DIFERENCIAS COMPLEMENTO  POR COMISIÓN DE SERVICIOS</t>
  </si>
  <si>
    <t>RESUMEN DE NOMINAS</t>
  </si>
  <si>
    <t>CANTIDAD DE TRABAJADORES</t>
  </si>
  <si>
    <t>NOMINA EMPLEADOS FIJOS</t>
  </si>
  <si>
    <t>NOMINA OBREROS FIJOS</t>
  </si>
  <si>
    <t>NOMINA HONORARIOS PROFESIONALES</t>
  </si>
  <si>
    <t>CANTIDAD</t>
  </si>
  <si>
    <t>SUB-TOTAL RESUMEN POR CONCEPTOS</t>
  </si>
  <si>
    <t>SUB-TOTAL SUMATORIAS NOMINA</t>
  </si>
  <si>
    <t>DIFERENCIA</t>
  </si>
  <si>
    <t>CÓDIGO PRESUPUESTARIO</t>
  </si>
  <si>
    <t>DENOMINACIÓN DEL ENTE:</t>
  </si>
  <si>
    <t>MES REQUERIDO</t>
  </si>
  <si>
    <t>DISTRIBUCIÓN PRESUPUESTARIA</t>
  </si>
  <si>
    <t>CÓDIGO</t>
  </si>
  <si>
    <t>DENOMINACIÓN</t>
  </si>
  <si>
    <t>4.01.00.00.00</t>
  </si>
  <si>
    <t>GASTOS DE PERSONAL</t>
  </si>
  <si>
    <t>4.01.01.00.00</t>
  </si>
  <si>
    <t>Sueldos, salarios y otras retribuciones</t>
  </si>
  <si>
    <t>4.01.01.01.00</t>
  </si>
  <si>
    <t>Sueldos básicos personal fijo a tiempo completo</t>
  </si>
  <si>
    <t>4.01.01.02.00</t>
  </si>
  <si>
    <t>Sueldos básicos personal fijo a tiempo parcial</t>
  </si>
  <si>
    <t>4.01.01.03.00</t>
  </si>
  <si>
    <t>Suplencias a empleados</t>
  </si>
  <si>
    <t>4.01.01.08.00</t>
  </si>
  <si>
    <t>Sueldo al personal en trámite de nombramiento</t>
  </si>
  <si>
    <t>4.01.01.09.00</t>
  </si>
  <si>
    <t>Remuneraciones al personal en período de disponibilidad</t>
  </si>
  <si>
    <t>4.01.01.10.00</t>
  </si>
  <si>
    <t>Salarios a obreros en puestos permanentes a tiempo completo</t>
  </si>
  <si>
    <t>4.01.01.11.00</t>
  </si>
  <si>
    <t>Salarios a obreros en puestos permanentes a tiempo parcial</t>
  </si>
  <si>
    <t>Salarios a obreros en puestos no permanentes</t>
  </si>
  <si>
    <t>4.01.01.13.00</t>
  </si>
  <si>
    <t>Suplencias a obreros</t>
  </si>
  <si>
    <t>4.01.01.18.00</t>
  </si>
  <si>
    <t>Remuneraciones al personal contratado</t>
  </si>
  <si>
    <t>Remuneraciones al personal contratado a tiempo determinado</t>
  </si>
  <si>
    <t>Remuneraciones por honorarios profesionales</t>
  </si>
  <si>
    <t>4.01.01.19.00</t>
  </si>
  <si>
    <t>Retribuciones por becas - salarios, bolsas de trabajo, pasantías y similares</t>
  </si>
  <si>
    <t>4.01.01.20.00</t>
  </si>
  <si>
    <t>Sueldo del personal militar profesional</t>
  </si>
  <si>
    <t>4.01.01.21.00</t>
  </si>
  <si>
    <t>Sueldo o ración del personal militar no profesional</t>
  </si>
  <si>
    <t>4.01.01.22.00</t>
  </si>
  <si>
    <t>Sueldo del personal militar de reserva</t>
  </si>
  <si>
    <t>4.01.01.29.00</t>
  </si>
  <si>
    <t>Dietas</t>
  </si>
  <si>
    <t>4.01.01.30.00</t>
  </si>
  <si>
    <t>Retribución al personal de reserva</t>
  </si>
  <si>
    <t>4.01.01.35.00</t>
  </si>
  <si>
    <t>Sueldo básico de los altos funcionarios y altas funcionarias del poder público y de elección popular</t>
  </si>
  <si>
    <t>Sueldo básico del personal de alto nivel y de dirección</t>
  </si>
  <si>
    <t>4.01.01.37.00</t>
  </si>
  <si>
    <t>Dietas de los altos funcionarios y altas funcionarias del poder público y de elección popular</t>
  </si>
  <si>
    <t>4.01.01.38.00</t>
  </si>
  <si>
    <t>Dietas del personal de alto nivel y de dirección</t>
  </si>
  <si>
    <t>4.01.01.99.00</t>
  </si>
  <si>
    <t>Otras retribuciones</t>
  </si>
  <si>
    <t>4.01.02.00.00</t>
  </si>
  <si>
    <t>Compensaciones previstas en las escalas de sueldos y salarios</t>
  </si>
  <si>
    <t>4.01.02.01.00</t>
  </si>
  <si>
    <t>Compensaciones previstas en las escalas de sueldos al personal empleado fijo a tiempo completo</t>
  </si>
  <si>
    <t>4.01.02.02.00</t>
  </si>
  <si>
    <t>Compensaciones previstas en las escalas de sueldos al personal empleado fijo a tiempo parcial</t>
  </si>
  <si>
    <t>4.01.02.03.00</t>
  </si>
  <si>
    <t>Compensaciones previstas en las escalas de salarios al personal obrero fijo a tiempo completo</t>
  </si>
  <si>
    <t>4.01.02.04.00</t>
  </si>
  <si>
    <t>Compensaciones previstas en las escalas de salarios al personal obrero fijo a tiempo parcial</t>
  </si>
  <si>
    <t>4.01.02.05.00</t>
  </si>
  <si>
    <t>Compensaciones previstas en las escalas de sueldos al personal militar</t>
  </si>
  <si>
    <t>4.01.02.06.00</t>
  </si>
  <si>
    <t>Compensaciones previstas en las escalas de sueldos de los altos funcionarios y altas funcionarias del poder público y de elección popular</t>
  </si>
  <si>
    <t>4.01.02.07.00</t>
  </si>
  <si>
    <t>Compensaciones previstas en las escalas de sueldos del personal de alto nivel y de dirección</t>
  </si>
  <si>
    <t>4.01.03.00.00</t>
  </si>
  <si>
    <t>Primas</t>
  </si>
  <si>
    <t>4.01.03.01.00</t>
  </si>
  <si>
    <t>Primas por mérito a empleados</t>
  </si>
  <si>
    <t>4.01.03.02.00</t>
  </si>
  <si>
    <t>Primas de transporte a empleados</t>
  </si>
  <si>
    <t>4.01.03.03.00</t>
  </si>
  <si>
    <t>Primas por hogar a empleados</t>
  </si>
  <si>
    <t>4.01.03.04.00</t>
  </si>
  <si>
    <t>Primas por hijos a empleados</t>
  </si>
  <si>
    <t>4.01.03.05.00</t>
  </si>
  <si>
    <t>Primas por alquileres a empleados</t>
  </si>
  <si>
    <t>4.01.03.06.00</t>
  </si>
  <si>
    <t>Primas por residencia a empleados</t>
  </si>
  <si>
    <t>4.01.03.07.00</t>
  </si>
  <si>
    <t>Primas por categoría de escuelas a empleados</t>
  </si>
  <si>
    <t>4.01.03.08.00</t>
  </si>
  <si>
    <t>Primas de profesionalización a empleados</t>
  </si>
  <si>
    <t>Primas por antigüedad a empleados</t>
  </si>
  <si>
    <t>4.01.03.10.00</t>
  </si>
  <si>
    <t>Primas por jerarquía o responsabilidad en el cargo</t>
  </si>
  <si>
    <t>4.01.03.11.00</t>
  </si>
  <si>
    <t>Primas al personal en servicio en el exterior</t>
  </si>
  <si>
    <t>4.01.03.16.00</t>
  </si>
  <si>
    <t>Primas por mérito a obreros</t>
  </si>
  <si>
    <t>4.01.03.17.00</t>
  </si>
  <si>
    <t>Primas de transporte a obreros</t>
  </si>
  <si>
    <t>4.01.03.18.00</t>
  </si>
  <si>
    <t>Primas por hogar a obreros</t>
  </si>
  <si>
    <t>4.01.03.19.00</t>
  </si>
  <si>
    <t>Primas por hijos de obreros</t>
  </si>
  <si>
    <t>4.01.03.20.00</t>
  </si>
  <si>
    <t>Primas por residencia a obreros</t>
  </si>
  <si>
    <t>4.01.03.21.00</t>
  </si>
  <si>
    <t>Primas por antigüedad a obreros</t>
  </si>
  <si>
    <t>4.01.03.22.00</t>
  </si>
  <si>
    <t>Primas de profesionalización a obreros</t>
  </si>
  <si>
    <t>4.01.03.26.00</t>
  </si>
  <si>
    <t>Primas por hijos al personal militar</t>
  </si>
  <si>
    <t>4.01.03.27.00</t>
  </si>
  <si>
    <t>Primas de profesionalización al personal militar</t>
  </si>
  <si>
    <t>4.01.03.28.00</t>
  </si>
  <si>
    <t>Primas por antigüedad al personal militar</t>
  </si>
  <si>
    <t>4.01.03.29.00</t>
  </si>
  <si>
    <t>Primas por potencial de ascenso al personal militar</t>
  </si>
  <si>
    <t>4.01.03.30.00</t>
  </si>
  <si>
    <t>Primas por frontera y sitios inhóspitos al personal militar y de seguridad</t>
  </si>
  <si>
    <t>4.01.03.31.00</t>
  </si>
  <si>
    <t>Primas por riesgo al personal militar y de seguridad</t>
  </si>
  <si>
    <t>4.01.03.37.00</t>
  </si>
  <si>
    <t>Primas de transporte al personal contratado</t>
  </si>
  <si>
    <t>4.01.03.38.00</t>
  </si>
  <si>
    <t>Primas por hogar al personal contratado</t>
  </si>
  <si>
    <t>4.01.03.39.00</t>
  </si>
  <si>
    <t>Primas por hijos al personal contratado</t>
  </si>
  <si>
    <t>4.01.03.40.00</t>
  </si>
  <si>
    <t>Primas de profesionalización al personal contratado</t>
  </si>
  <si>
    <t>4.01.03.41.00</t>
  </si>
  <si>
    <t>Primas por antigüedad al personal contratado</t>
  </si>
  <si>
    <t>4.01.03.46.00</t>
  </si>
  <si>
    <t>Primas a los altos funcionarios y altas funcionarias del poder público y de elección popular</t>
  </si>
  <si>
    <t>Primas al personal de alto nivel y de dirección</t>
  </si>
  <si>
    <t>4.01.03.94.00</t>
  </si>
  <si>
    <t>Otras primas a los altos funcionarios y altas funcionarias del poder público y de elección popular</t>
  </si>
  <si>
    <t>4.01.03.95.00</t>
  </si>
  <si>
    <t>Otras primas al personal de alto nivel y de dirección</t>
  </si>
  <si>
    <t>4.01.03.96.00</t>
  </si>
  <si>
    <t>Otras primas al personal contratado</t>
  </si>
  <si>
    <t>4.01.03.97.00</t>
  </si>
  <si>
    <t>Otras primas a empleados</t>
  </si>
  <si>
    <t>4.01.03.98.00</t>
  </si>
  <si>
    <t>Otras primas a obreros</t>
  </si>
  <si>
    <t>4.01.03.99.00</t>
  </si>
  <si>
    <t>Otras primas al personal militar</t>
  </si>
  <si>
    <t>4.01.04.00.00</t>
  </si>
  <si>
    <t>Complementos de sueldos y salarios</t>
  </si>
  <si>
    <t>4.01.04.01.00</t>
  </si>
  <si>
    <t>Complemento a empleados por horas extraordinarias o por sobretiempo</t>
  </si>
  <si>
    <t>4.01.04.02.00</t>
  </si>
  <si>
    <t>Complemento a empleados por trabajo nocturno</t>
  </si>
  <si>
    <t>4.01.04.03.00</t>
  </si>
  <si>
    <t>Complemento a empleados por gastos de alimentación</t>
  </si>
  <si>
    <t>4.01.04.04.00</t>
  </si>
  <si>
    <t>Complemento a empleados por gastos de transporte</t>
  </si>
  <si>
    <t>4.01.04.05.00</t>
  </si>
  <si>
    <t>Complemento a empleados por gastos de representación</t>
  </si>
  <si>
    <t>Complemento a empleados por comisión de servicios</t>
  </si>
  <si>
    <t>4.01.04.07.00</t>
  </si>
  <si>
    <t>Bonificación a empleados</t>
  </si>
  <si>
    <t>Bono compensatorio de alimentación a empleados</t>
  </si>
  <si>
    <t>4.01.04.09.00</t>
  </si>
  <si>
    <t>Bono compensatorio de transporte a empleados</t>
  </si>
  <si>
    <t>4.01.04.10.00</t>
  </si>
  <si>
    <t>Complemento a empleados por días feriados</t>
  </si>
  <si>
    <t>4.01.04.14.00</t>
  </si>
  <si>
    <t>Complemento a obreros por horas extraordinarias o por sobretiempo</t>
  </si>
  <si>
    <t>4.01.04.15.00</t>
  </si>
  <si>
    <t>Complemento a obreros por trabajo o jornada nocturna</t>
  </si>
  <si>
    <t>4.01.04.16.00</t>
  </si>
  <si>
    <t>Complemento a obreros por gastos de alimentación</t>
  </si>
  <si>
    <t>4.01.04.17.00</t>
  </si>
  <si>
    <t>Complemento a obreros por gastos de transporte</t>
  </si>
  <si>
    <t>4.01.04.18.00</t>
  </si>
  <si>
    <t>Bono compensatorio de alimentación a obreros</t>
  </si>
  <si>
    <t>4.01.04.19.00</t>
  </si>
  <si>
    <t>Bono compensatorio de transporte a obreros</t>
  </si>
  <si>
    <t>4.01.04.20.00</t>
  </si>
  <si>
    <t>Complemento a obreros por días feriados</t>
  </si>
  <si>
    <t>4.01.04.24.00</t>
  </si>
  <si>
    <t>Complemento al personal contratado por horas extraordinarias o por sobre tiempo</t>
  </si>
  <si>
    <t>4.01.04.25.00</t>
  </si>
  <si>
    <t>Complemento al personal contratado por gastos de alimentación</t>
  </si>
  <si>
    <t>4.01.04.26.00</t>
  </si>
  <si>
    <t>Bono compensatorio de alimentación al personal contratado</t>
  </si>
  <si>
    <t>4.01.04.27.00</t>
  </si>
  <si>
    <t>Bono compensatorio de transporte al personal contratado</t>
  </si>
  <si>
    <t>4.01.04.28.00</t>
  </si>
  <si>
    <t>Complemento al personal contratado por días feriados</t>
  </si>
  <si>
    <t>4.01.04.32.00</t>
  </si>
  <si>
    <t>Complemento al personal militar por gastos de alimentación</t>
  </si>
  <si>
    <t>4.01.04.33.00</t>
  </si>
  <si>
    <t>Complemento al personal militar por gastos de transporte</t>
  </si>
  <si>
    <t>4.01.04.34.00</t>
  </si>
  <si>
    <t>Complemento al personal militar en el exterior</t>
  </si>
  <si>
    <t>4.01.04.35.00</t>
  </si>
  <si>
    <t>Bono compensatorio de alimentación al personal militar</t>
  </si>
  <si>
    <t>4.01.04.43.00</t>
  </si>
  <si>
    <t>Complemento a altos funcionarios y altas funcionarias del poder público y de elección popular por gastos de representación</t>
  </si>
  <si>
    <t>4.01.04.44.00</t>
  </si>
  <si>
    <t>Complemento a altos funcionarios y altas funcionarias del poder público y de elección popular por comisión de servicios</t>
  </si>
  <si>
    <t>4.01.04.45.00</t>
  </si>
  <si>
    <t>Bonificación a altos funcionarios y altas funcionarias del poder público y de elección popular</t>
  </si>
  <si>
    <t>4.01.04.46.00</t>
  </si>
  <si>
    <t>Bono compensatorio de alimentación a altos funcionarios y altas funcionarias del poder público y de elección popular</t>
  </si>
  <si>
    <t>4.01.04.47.00</t>
  </si>
  <si>
    <t>Bono compensatorio de transporte a altos funcionarios y altas funcionarias del poder público y de elección popular</t>
  </si>
  <si>
    <t>4.01.04.48.00</t>
  </si>
  <si>
    <t>Complemento al personal de alto nivel y de dirección por gastos de representación</t>
  </si>
  <si>
    <t>Complemento al personal de alto nivel y de dirección por comisión de servicios</t>
  </si>
  <si>
    <t>4.01.04.50.00</t>
  </si>
  <si>
    <t>Bonificación al personal de alto nivel y de dirección</t>
  </si>
  <si>
    <t>Bono compensatorio de alimentación al personal de alto nivel y de dirección</t>
  </si>
  <si>
    <t>4.01.04.52.00</t>
  </si>
  <si>
    <t>Bono compensatorio de transporte al personal de alto nivel y de dirección</t>
  </si>
  <si>
    <t>4.01.04.94.00</t>
  </si>
  <si>
    <t>Otros complementos a altos funcionarios y altas funcionarias del sector público y de elección popular</t>
  </si>
  <si>
    <t>4.01.04.95.00</t>
  </si>
  <si>
    <t>Otros complementos al personal de alto nivel y de dirección</t>
  </si>
  <si>
    <t>4.01.04.96.00</t>
  </si>
  <si>
    <t>Otros complementos a empleados</t>
  </si>
  <si>
    <t>4.01.04.97.00</t>
  </si>
  <si>
    <t>Otros complementos a obreros</t>
  </si>
  <si>
    <t>4.01.04.98.00</t>
  </si>
  <si>
    <t>Otros complementos al personal contratado</t>
  </si>
  <si>
    <t>4.01.04.99.00</t>
  </si>
  <si>
    <t>Otros complementos al personal militar</t>
  </si>
  <si>
    <t>4.01.05.00.00</t>
  </si>
  <si>
    <t>Aguinaldos, utilidades o bonificación legal, y bono vacacional</t>
  </si>
  <si>
    <t>Aguinaldos a empleados</t>
  </si>
  <si>
    <t>4.01.05.02.00</t>
  </si>
  <si>
    <t>Utilidades legales y convencionales a empleados</t>
  </si>
  <si>
    <t>4.01.05.03.00</t>
  </si>
  <si>
    <t>Bono vacacional a empleados</t>
  </si>
  <si>
    <t>4.01.05.04.00</t>
  </si>
  <si>
    <t>Aguinaldos a obreros</t>
  </si>
  <si>
    <t>4.01.05.05.00</t>
  </si>
  <si>
    <t>Utilidades legales y convencionales a obreros</t>
  </si>
  <si>
    <t>4.01.05.06.00</t>
  </si>
  <si>
    <t>Bono vacacional a obreros</t>
  </si>
  <si>
    <t>4.01.05.07.00</t>
  </si>
  <si>
    <t>Aguinaldos al personal contratado</t>
  </si>
  <si>
    <t>4.01.05.08.00</t>
  </si>
  <si>
    <t>Bono vacacional al personal contratado</t>
  </si>
  <si>
    <t>4.01.05.09.00</t>
  </si>
  <si>
    <t>Aguinaldos al personal militar</t>
  </si>
  <si>
    <t>4.01.05.10.00</t>
  </si>
  <si>
    <t>Bono vacacional al personal militar</t>
  </si>
  <si>
    <t>4.01.05.13.00</t>
  </si>
  <si>
    <t>Aguinaldos a altos funcionarios y altas funcionarias del poder público y de elección popular</t>
  </si>
  <si>
    <t>4.01.05.14.00</t>
  </si>
  <si>
    <t>Utilidades legales y convencionales a altos funcionarios y altas funcionarias del poder público y de elección popular</t>
  </si>
  <si>
    <t>4.01.05.15.00</t>
  </si>
  <si>
    <t>Bono vacacional a altos funcionarios y altas funcionarias del poder público y de elección popular</t>
  </si>
  <si>
    <t>Aguinaldos al personal de alto nivel y de dirección</t>
  </si>
  <si>
    <t>4.01.05.17.00</t>
  </si>
  <si>
    <t>Utilidades legales y convencionales al personal de alto nivel y de dirección</t>
  </si>
  <si>
    <t>Bono vacacional al personal de alto nivel y de dirección</t>
  </si>
  <si>
    <t>4.01.06.00.00</t>
  </si>
  <si>
    <t>Aportes patronales y legales</t>
  </si>
  <si>
    <t>4.01.06.01.00</t>
  </si>
  <si>
    <t>Aporte patronal al Instituto Venezolano de los Seguros Sociales(IVSS) por empleados</t>
  </si>
  <si>
    <t>4.01.06.02.00</t>
  </si>
  <si>
    <t>Aporte patronal al Instituto de Previsión y Asistencia Social para el personal del Ministerio de Educación (Ipasme) por empleados</t>
  </si>
  <si>
    <t>4.01.06.03.00</t>
  </si>
  <si>
    <t>Aporte patronal al Fondo de Jubilaciones por empleados</t>
  </si>
  <si>
    <t>4.01.06.04.00</t>
  </si>
  <si>
    <t>Aporte patronal al Fondo de Seguro de Paro Forzoso por empleados</t>
  </si>
  <si>
    <t>4.01.06.05.00</t>
  </si>
  <si>
    <t>Aporte patronal al Fondo de Ahorro Obligatorio para la Vivienda por empleados</t>
  </si>
  <si>
    <t>4.01.06.06.00</t>
  </si>
  <si>
    <t>Aporte patronal al Instituto Nacional de Capacitación y Educación Socialista (Inces) por empleados</t>
  </si>
  <si>
    <t>4.01.06.10.00</t>
  </si>
  <si>
    <t>Aporte patronal al Instituto Venezolano de los Seguros Sociales(IVSS) por obreros</t>
  </si>
  <si>
    <t>4.01.06.11.00</t>
  </si>
  <si>
    <t>Aporte patronal al Fondo de Jubilaciones por obreros</t>
  </si>
  <si>
    <t>4.01.06.12.00</t>
  </si>
  <si>
    <t>Aporte patronal al Fondo de Seguro de Paro Forzoso por obreros</t>
  </si>
  <si>
    <t>4.01.06.13.00</t>
  </si>
  <si>
    <t>Aporte patronal al Fondo de Ahorro Obligatorio para la Vivienda por obreros</t>
  </si>
  <si>
    <t>4.01.06.14.00</t>
  </si>
  <si>
    <t>Aporte patronal al Instituto Nacional de Capacitación y Educación Socialista (Inces) por obreros</t>
  </si>
  <si>
    <t>4.01.06.18.00</t>
  </si>
  <si>
    <t>Aporte patronal a los organismos de seguridad social por los trabajadores locales empleados en las representaciones de Venezuela en el exterior</t>
  </si>
  <si>
    <t>4.01.06.19.00</t>
  </si>
  <si>
    <t>Aporte patronal al Fondo de Ahorro Obligatorio para la Vivienda por personal militar</t>
  </si>
  <si>
    <t>4.01.06.25.00</t>
  </si>
  <si>
    <t>Aporte legal al Instituto Venezolano de los Seguros Sociales (IVSS)por personal contratado</t>
  </si>
  <si>
    <t>4.01.06.26.00</t>
  </si>
  <si>
    <t>Aporte patronal al Fondo de Ahorro Obligatorio para la Vivienda por personal contratado</t>
  </si>
  <si>
    <t>4.01.06.27.00</t>
  </si>
  <si>
    <t>Aporte patronal al Fondo de Seguro de Paro Forzoso por personal contratado</t>
  </si>
  <si>
    <t>4.01.06.28.00</t>
  </si>
  <si>
    <t>Aporte patronal al Fondo de Jubilaciones por personal contratado</t>
  </si>
  <si>
    <t>4.01.06.29.00</t>
  </si>
  <si>
    <t>Aporte patronal al Instituto Nacional de Capacitación y Educación Socialista (Inces) por personal contratado</t>
  </si>
  <si>
    <t>4.01.06.31.00</t>
  </si>
  <si>
    <t>Aporte patronal al Instituto Venezolano de los Seguros Sociales(IVSS) por altos funcionarios y altas funcionarias del poder público y de elección popular</t>
  </si>
  <si>
    <t>4.01.06.32.00</t>
  </si>
  <si>
    <t>Aporte patronal al Instituto de Previsión y Asistencia Social para el personal del Ministerio de Educación (Ipasme) por altos funcionarios altas funcionarias del poder público y de elección popular</t>
  </si>
  <si>
    <t>4.01.06.33.00</t>
  </si>
  <si>
    <t>Aporte patronal al Fondo de Jubilaciones por altos funcionarios y altas funcionarias del poder público y de elección popular</t>
  </si>
  <si>
    <t>4.01.06.34.00</t>
  </si>
  <si>
    <t>Aporte patronal al Fondo de Ahorro Obligatorio para la Vivienda por altos funcionarios y altas funcionarias del poder público y de elección popular</t>
  </si>
  <si>
    <t>4.01.06.35.00</t>
  </si>
  <si>
    <t>Aporte patronal al Fondo de Seguro de Paro Forzoso por altos funcionarios y altas funcionarias del poder público y de elección popular</t>
  </si>
  <si>
    <t>Aporte patronal al Instituto Venezolano de los Seguros Sociales(IVSS) por personal de alto nivel y de dirección</t>
  </si>
  <si>
    <t>4.01.06.40.00</t>
  </si>
  <si>
    <t>Aporte patronal al Instituto de Previsión y Asistencia Social para el personal del Ministerio de Educación (Ipasme) por personal de alto nivel y de dirección</t>
  </si>
  <si>
    <t>Aporte patronal al Fondo de Jubilaciones por personal de alto nivel y de dirección</t>
  </si>
  <si>
    <t>Aporte patronal al Fondo de Ahorro Obligatorio para la Vivienda por personal de alto nivel y de dirección</t>
  </si>
  <si>
    <t>Aporte patronal al Fondo de Seguro de Paro Forzoso por personal de alto nivel y de dirección</t>
  </si>
  <si>
    <t>4.01.06.44.00</t>
  </si>
  <si>
    <t>Aporte patronal al Instituto Nacional de Capacitación y Educación Socialista (Inces) por personal de alto nivel y de dirección</t>
  </si>
  <si>
    <t>4.01.06.93.00</t>
  </si>
  <si>
    <t>Otros aportes legales por altos funcionarios y altas funcionarias del poder público y de elección popular</t>
  </si>
  <si>
    <t>4.01.06.94.00</t>
  </si>
  <si>
    <t>Otros aportes legales por el personal de alto nivel y de dirección</t>
  </si>
  <si>
    <t>4.01.06.95.00</t>
  </si>
  <si>
    <t>Otros aportes legales por personal contratado</t>
  </si>
  <si>
    <t>4.01.06.96.00</t>
  </si>
  <si>
    <t>Otros aportes legales por empleados</t>
  </si>
  <si>
    <t>4.01.06.97.00</t>
  </si>
  <si>
    <t>Otros aportes legales por obreros</t>
  </si>
  <si>
    <t>4.01.06.98.00</t>
  </si>
  <si>
    <t>Otros aportes legales por personal militar</t>
  </si>
  <si>
    <t>4.01.07.00.00</t>
  </si>
  <si>
    <t>Asistencia socio-económica</t>
  </si>
  <si>
    <t>4.01.07.01.00</t>
  </si>
  <si>
    <t>Capacitación y adiestramiento a empleados</t>
  </si>
  <si>
    <t>Becas a empleados</t>
  </si>
  <si>
    <t>4.01.07.03.00</t>
  </si>
  <si>
    <t>Ayudas por matrimonio a empleados</t>
  </si>
  <si>
    <t>4.01.07.04.00</t>
  </si>
  <si>
    <t>Ayudas por nacimiento de hijos a empleados</t>
  </si>
  <si>
    <t>4.01.07.05.00</t>
  </si>
  <si>
    <t>Ayudas por defunción a empleados</t>
  </si>
  <si>
    <t>4.01.07.06.00</t>
  </si>
  <si>
    <t>Ayudas para medicinas, gastos médicos, odontológicos y de hospitalización a empleados</t>
  </si>
  <si>
    <t>4.01.07.07.00</t>
  </si>
  <si>
    <t>Aporte patronal a cajas de ahorro por empleados</t>
  </si>
  <si>
    <t>4.01.07.08.00</t>
  </si>
  <si>
    <t>Aporte patronal a los servicios de salud, accidentes personales y gastos funerarios por empleados</t>
  </si>
  <si>
    <t>4.01.07.09.00</t>
  </si>
  <si>
    <t>Ayudas a empleados para adquisición de uniformes y útiles escolares de sus hijos</t>
  </si>
  <si>
    <t>4.01.07.10.00</t>
  </si>
  <si>
    <t>Dotación de uniformes a empleados</t>
  </si>
  <si>
    <t>Aporte patronal para gastos de guarderías y preescolar para hijos de empleados</t>
  </si>
  <si>
    <t>Aportes para la adquisición de juguetes para los hijos del personal empleado</t>
  </si>
  <si>
    <t>4.01.07.17.00</t>
  </si>
  <si>
    <t>Capacitación y adiestramiento a obreros</t>
  </si>
  <si>
    <t>4.01.07.18.00</t>
  </si>
  <si>
    <t>Becas a obreros</t>
  </si>
  <si>
    <t>4.01.07.19.00</t>
  </si>
  <si>
    <t>Ayudas por matrimonio de obreros</t>
  </si>
  <si>
    <t>4.01.07.20.00</t>
  </si>
  <si>
    <t>Ayudas por nacimiento de hijos de obreros</t>
  </si>
  <si>
    <t>4.01.07.21.00</t>
  </si>
  <si>
    <t>Ayudas por defunción a obreros</t>
  </si>
  <si>
    <t>4.01.07.22.00</t>
  </si>
  <si>
    <t>Ayudas para medicinas, gastos médicos, odontológicos y de hospitalización a obreros</t>
  </si>
  <si>
    <t>4.01.07.23.00</t>
  </si>
  <si>
    <t>Aporte patronal a cajas de ahorro por obreros</t>
  </si>
  <si>
    <t>4.01.07.24.00</t>
  </si>
  <si>
    <t>Aporte patronal a los servicios de salud, accidentes personales y gastos funerarios por obreros</t>
  </si>
  <si>
    <t>4.01.07.25.00</t>
  </si>
  <si>
    <t>Ayudas a obreros para adquisición de uniformes y útiles escolares de sus hijos</t>
  </si>
  <si>
    <t>4.01.07.26.00</t>
  </si>
  <si>
    <t>Dotación de uniformes a obreros</t>
  </si>
  <si>
    <t>4.01.07.27.00</t>
  </si>
  <si>
    <t>Aporte patronal para gastos de guarderías y preescolar para hijos de obreros</t>
  </si>
  <si>
    <t>4.01.07.28.00</t>
  </si>
  <si>
    <t>Aportes para la adquisición de juguetes para los hijos del personal obrero</t>
  </si>
  <si>
    <t>4.01.07.34.00</t>
  </si>
  <si>
    <t>Capacitación y adiestramiento al personal militar</t>
  </si>
  <si>
    <t>4.01.07.35.00</t>
  </si>
  <si>
    <t>Becas al personal militar</t>
  </si>
  <si>
    <t>4.01.07.36.00</t>
  </si>
  <si>
    <t>Ayudas por matrimonio al personal militar</t>
  </si>
  <si>
    <t>4.01.07.37.00</t>
  </si>
  <si>
    <t>Ayudas por nacimiento de hijos al personal militar</t>
  </si>
  <si>
    <t>4.01.07.38.00</t>
  </si>
  <si>
    <t>Ayudas por defunción al personal militar</t>
  </si>
  <si>
    <t>4.01.07.39.00</t>
  </si>
  <si>
    <t>Ayudas para medicinas, gastos médicos, odontológicos y de hospitalización al personal militar</t>
  </si>
  <si>
    <t>4.01.07.40.00</t>
  </si>
  <si>
    <t>Aporte patronal a caja de ahorro por personal militar</t>
  </si>
  <si>
    <t>4.01.07.41.00</t>
  </si>
  <si>
    <t>Aporte patronal a los servicios de salud, accidentes personales y gastos funerarios personal militar</t>
  </si>
  <si>
    <t>4.01.07.42.00</t>
  </si>
  <si>
    <t>Ayudas al personal militar para adquisición de uniformes y útiles escolares de sus hijos</t>
  </si>
  <si>
    <t>4.01.07.43.00</t>
  </si>
  <si>
    <t>Aportes para la adquisición de juguetes para los hijos del personal militar</t>
  </si>
  <si>
    <t>4.01.07.44.00</t>
  </si>
  <si>
    <t>Aporte patronal para gastos de guarderías y preescolar para hijos del personal militar</t>
  </si>
  <si>
    <t>4.01.07.52.00</t>
  </si>
  <si>
    <t>Capacitación y adiestramiento a altos funcionarios y altas funcionarias del poder público y de elección popular</t>
  </si>
  <si>
    <t>4.01.07.53.00</t>
  </si>
  <si>
    <t>Ayudas por matrimonio a altos funcionarios y altas funcionarias del poder público y de elección popular</t>
  </si>
  <si>
    <t>4.01.07.54.00</t>
  </si>
  <si>
    <t>Ayudas por nacimiento de hijos altos funcionarios y altas funcionarias del poder público y de elección popular</t>
  </si>
  <si>
    <t>4.01.07.55.00</t>
  </si>
  <si>
    <t>Ayudas por defunción a altos funcionarios y altas funcionarias del poder público y de elección popular</t>
  </si>
  <si>
    <t>4.01.07.56.00</t>
  </si>
  <si>
    <t>Ayudas para medicinas, gastos médicos, odontológicos y de hospitalización a altos funcionarios y altas funcionarias del poder público y de elección popular</t>
  </si>
  <si>
    <t>4.01.07.57.00</t>
  </si>
  <si>
    <t>Aporte patronal a cajas de ahorro por altos funcionarios y altas funcionarias del poder público y de elección popular</t>
  </si>
  <si>
    <t>4.01.07.58.00</t>
  </si>
  <si>
    <t>Aporte patronal a los servicios de salud, accidentes personales y gastos funerarios por altos funcionarios y altas funcionarias del poder público y de elección popular</t>
  </si>
  <si>
    <t>4.01.07.63.00</t>
  </si>
  <si>
    <t>Capacitación y adiestramiento al personal de alto nivel y de dirección</t>
  </si>
  <si>
    <t>4.01.07.64.00</t>
  </si>
  <si>
    <t>Ayudas por matrimonio al personal de alto nivel y de dirección</t>
  </si>
  <si>
    <t>4.01.07.65.00</t>
  </si>
  <si>
    <t>Ayudas por nacimiento de hijos al personal de alto nivel y de dirección</t>
  </si>
  <si>
    <t>4.01.07.66.00</t>
  </si>
  <si>
    <t>Ayudas por defunción al personal de alto nivel y de dirección</t>
  </si>
  <si>
    <t>4.01.07.67.00</t>
  </si>
  <si>
    <t>Ayudas para medicinas, gastos médicos, odontológicos y de hospitalización al personal de alto nivel y de dirección</t>
  </si>
  <si>
    <t>Aporte patronal a cajas de ahorro por personal de alto nivel y de dirección</t>
  </si>
  <si>
    <t>Aporte patronal a los servicios de salud, accidentes personales y gastos funerarios por personal de alto nivel y de dirección</t>
  </si>
  <si>
    <t>4.01.07.74.00</t>
  </si>
  <si>
    <t>Capacitación y adiestramiento al personal contratado</t>
  </si>
  <si>
    <t>4.01.07.75.00</t>
  </si>
  <si>
    <t>Becas al personal contratado</t>
  </si>
  <si>
    <t>4.01.07.76.00</t>
  </si>
  <si>
    <t>Ayudas por matrimonio al personal contratado</t>
  </si>
  <si>
    <t>4.01.07.77.00</t>
  </si>
  <si>
    <t>Ayudas por nacimiento de hijos al personal contratado</t>
  </si>
  <si>
    <t>4.01.07.78.00</t>
  </si>
  <si>
    <t>Ayudas por defunción al personal contratado</t>
  </si>
  <si>
    <t>4.01.07.79.00</t>
  </si>
  <si>
    <t>Ayudas para medicinas, gastos médicos, odontológicos y de hospitalización al personal contratado</t>
  </si>
  <si>
    <t>4.01.07.80.00</t>
  </si>
  <si>
    <t>Aporte patronal a cajas de ahorro por personal contratado</t>
  </si>
  <si>
    <t>4.01.07.81.00</t>
  </si>
  <si>
    <t>Aporte patronal a los servicios de salud, accidentes personales y gastos funerarios por personal contratado</t>
  </si>
  <si>
    <t>4.01.07.82.00</t>
  </si>
  <si>
    <t>Ayudas al personal contratado para adquisición de uniformes y útiles escolares de sus hijos</t>
  </si>
  <si>
    <t>4.01.07.83.00</t>
  </si>
  <si>
    <t>Dotación de uniformes al personal contratado</t>
  </si>
  <si>
    <t>4.01.07.84.00</t>
  </si>
  <si>
    <t>Aporte patronal para gastos de guarderías y preescolar para hijos del personal contratado</t>
  </si>
  <si>
    <t>4.01.07.85.00</t>
  </si>
  <si>
    <t>Aportes para la adquisición de juguetes para los hijos del personal contratado</t>
  </si>
  <si>
    <t>4.01.07.94.00</t>
  </si>
  <si>
    <t>Otras subvenciones a altos funcionarios y altas funcionarias del poder público y de elección popular</t>
  </si>
  <si>
    <t>4.01.07.95.00</t>
  </si>
  <si>
    <t>Otras subvenciones al personal de alto nivel y de dirección</t>
  </si>
  <si>
    <t>Otras subvenciones a empleados</t>
  </si>
  <si>
    <t>4.01.07.97.00</t>
  </si>
  <si>
    <t>Otras subvenciones a obreros</t>
  </si>
  <si>
    <t>4.01.07.98.00</t>
  </si>
  <si>
    <t>Otras subvenciones al personal militar</t>
  </si>
  <si>
    <t>4.01.07.99.00</t>
  </si>
  <si>
    <t>Otras subvenciones al personal contratado</t>
  </si>
  <si>
    <t>4.01.08.00.00</t>
  </si>
  <si>
    <t>Prestaciones sociales e indemnizaciones</t>
  </si>
  <si>
    <t>Prestaciones sociales e indemnizaciones a empleados</t>
  </si>
  <si>
    <t>4.01.08.02.00</t>
  </si>
  <si>
    <t>Prestaciones sociales e indemnizaciones a obreros</t>
  </si>
  <si>
    <t>4.01.08.03.00</t>
  </si>
  <si>
    <t>Prestaciones sociales e indemnizaciones al personal contratado</t>
  </si>
  <si>
    <t>4.01.08.04.00</t>
  </si>
  <si>
    <t>Prestaciones sociales e indemnizaciones al personal militar</t>
  </si>
  <si>
    <t>4.01.08.06.00</t>
  </si>
  <si>
    <t>Prestaciones sociales e indemnizaciones a altos funcionarios y altas funcionarias del poder público y de elección popular</t>
  </si>
  <si>
    <t>Prestaciones sociales e indemnizaciones al personal de alto nivel y de dirección</t>
  </si>
  <si>
    <t>4.01.09.00.00</t>
  </si>
  <si>
    <t>Capacitación y adiestramiento realizado por personal del organismo</t>
  </si>
  <si>
    <t>4.01.09.01.00</t>
  </si>
  <si>
    <t>4.01.94.00.00</t>
  </si>
  <si>
    <t>Otros gastos de los altos funcionarios y altas funcionarias del poder público y de elección popular</t>
  </si>
  <si>
    <t>4.01.94.01.00</t>
  </si>
  <si>
    <t>4.01.95.00.00</t>
  </si>
  <si>
    <t>Otros gastos del personal de alto nivel y de dirección</t>
  </si>
  <si>
    <t>4.01.95.01.00</t>
  </si>
  <si>
    <t>4.01.96.00.00</t>
  </si>
  <si>
    <t>Otros gastos del personal empleado</t>
  </si>
  <si>
    <t>4.01.96.01.00</t>
  </si>
  <si>
    <t>4.01.97.00.00</t>
  </si>
  <si>
    <t>Otros gastos del personal obrero</t>
  </si>
  <si>
    <t>4.01.97.01.00</t>
  </si>
  <si>
    <t>4.01.98.00.00</t>
  </si>
  <si>
    <t>Otros gastos del personal militar</t>
  </si>
  <si>
    <t>4.01.98.01.00</t>
  </si>
  <si>
    <t>4.02.00.00.00</t>
  </si>
  <si>
    <t>MATERIALES, SUMINISTROS Y MERCANCIAS</t>
  </si>
  <si>
    <t>4.02.10.00.00</t>
  </si>
  <si>
    <t>Productos varios y útiles diversos</t>
  </si>
  <si>
    <t>4.02.10.07.00</t>
  </si>
  <si>
    <t>Productos de Seguridad en el Trabajo</t>
  </si>
  <si>
    <t>4.03.00.00.00</t>
  </si>
  <si>
    <t>SERVICIOS NO PERSONALES</t>
  </si>
  <si>
    <t>4.03.08.00.00</t>
  </si>
  <si>
    <t>Primas y otros gastos de seguros y comisiones bancarias</t>
  </si>
  <si>
    <t>Comisiones y gastos bancarios</t>
  </si>
  <si>
    <t>Comisiones y gastos de adquisición de seguros</t>
  </si>
  <si>
    <t>4.03.10.00.00</t>
  </si>
  <si>
    <t>Servicios profesionales, técnicos y demás oficios y ocupaciones</t>
  </si>
  <si>
    <t>Servicios de capacitación y adiestramiento</t>
  </si>
  <si>
    <t>4.03.16.00.00</t>
  </si>
  <si>
    <t>Servicios de diversión, esparcimiento y culturales</t>
  </si>
  <si>
    <t>4.03.18.00.00</t>
  </si>
  <si>
    <t>Impuestos indirectos</t>
  </si>
  <si>
    <t>Impuesto al valor agregado</t>
  </si>
  <si>
    <t>4.03.19.00.00</t>
  </si>
  <si>
    <t>Comisiones por servicios para cumplir con los beneficios sociales</t>
  </si>
  <si>
    <t>4.03.99.00.00</t>
  </si>
  <si>
    <t>Otros servicios no personales</t>
  </si>
  <si>
    <t>4.07.00.00.00</t>
  </si>
  <si>
    <t>TRANSFERENCIAS Y DONACIONES</t>
  </si>
  <si>
    <t>4.07.01.00.00</t>
  </si>
  <si>
    <t>Transferencias y donaciones corrientes internas</t>
  </si>
  <si>
    <t>4.07.01.01.00</t>
  </si>
  <si>
    <t>Transferencias corrientes internas al sector privado</t>
  </si>
  <si>
    <t>Pensiones del personal empleado, obrero y militar</t>
  </si>
  <si>
    <t>4.07.01.01.05</t>
  </si>
  <si>
    <t>Becas de perfeccionamiento profesional en el país</t>
  </si>
  <si>
    <t>4.07.01.01.02</t>
  </si>
  <si>
    <t>Jubilaciones del personal empleado, obrero y militar</t>
  </si>
  <si>
    <t>4.07.01.01.09</t>
  </si>
  <si>
    <t>Aguinaldos al personal empleado, obrero y militar pensionado</t>
  </si>
  <si>
    <t>Aportes a caja de ahorro del personal empleado, obrero y militar pensionado</t>
  </si>
  <si>
    <t>Aportes a los servicios de salud, accidentes personales y gastos funerarios del personal empleado, obrero y militar pensionado</t>
  </si>
  <si>
    <t>Otras subvenciones socio - económicas del personal empleado, obrero y militar pensionado</t>
  </si>
  <si>
    <t>4.07.01.01.13</t>
  </si>
  <si>
    <t>Aguinaldos al personal empleado, obrero y militar jubilado</t>
  </si>
  <si>
    <t>4.07.01.01.14</t>
  </si>
  <si>
    <t>Aportes a caja de ahorro del personal empleado, obrero y militar jubilado</t>
  </si>
  <si>
    <t>4.07.01.01.15</t>
  </si>
  <si>
    <t>Aportes a los servicios de salud, accidentes personales y gastos funerarios del personal empleado, obrero y militar jubilado</t>
  </si>
  <si>
    <t>4.07.01.01.16</t>
  </si>
  <si>
    <t>Otras subvenciones socio - económicas del personal empleado, obrero y militar jubilado</t>
  </si>
  <si>
    <t>Subsidios a organismos laborales y gremiales</t>
  </si>
  <si>
    <t>4.07.01.05.00</t>
  </si>
  <si>
    <t>Pensiones de altos funcionarios y altas funcionarias del poder público y de elección popular, del personal de alto nivel y de dirección</t>
  </si>
  <si>
    <t>4.07.01.05.01</t>
  </si>
  <si>
    <t>Pensiones de altos funcionarios y altas funcionarias del poder público y de elección popular</t>
  </si>
  <si>
    <t>Pensiones del personal de alto nivel y de dirección</t>
  </si>
  <si>
    <t>4.07.01.05.06</t>
  </si>
  <si>
    <t>Aguinaldos de altos funcionarios y altas funcionarias del poder público y de elección popular pensionados</t>
  </si>
  <si>
    <t>4.07.01.05.07</t>
  </si>
  <si>
    <t>Aguinaldos del personal pensionado de alto nivel y de dirección</t>
  </si>
  <si>
    <t>4.07.01.05.11</t>
  </si>
  <si>
    <t>Aportes a caja de ahorro de altos funcionarios y altas funcionarias del poder público y de elección popular pensionados</t>
  </si>
  <si>
    <t>Aportes a caja de ahorro del personal pensionado de alto nivel y de dirección</t>
  </si>
  <si>
    <t>4.07.01.05.16</t>
  </si>
  <si>
    <t>Aportes a los servicios de salud, accidentes personales y gastos funerarios de altos funcionarios y altas funcionarias del poder público y de elección popular pensionados</t>
  </si>
  <si>
    <t>4.07.01.05.17</t>
  </si>
  <si>
    <t>Aportes a los servicios de salud, accidentes personales y gastos funerarios del personal pensionado de alto nivel y de dirección</t>
  </si>
  <si>
    <t>4.07.01.05.98</t>
  </si>
  <si>
    <t>Otras subvenciones de altos funcionarios y altas funcionarias del poder público y de elección popular pensionados</t>
  </si>
  <si>
    <t>Otras subvenciones del personal pensionado de alto nivel y de dirección</t>
  </si>
  <si>
    <t>4.07.01.06.00</t>
  </si>
  <si>
    <t>Jubilaciones de altos funcionarios y altas funcionarias del poder público y de elección popular, del personal de alto nivel y de dirección</t>
  </si>
  <si>
    <t>4.07.01.06.01</t>
  </si>
  <si>
    <t>Jubilaciones de altos funcionarios y altas funcionarias del poder público y de elección popular</t>
  </si>
  <si>
    <t>4.07.01.06.02</t>
  </si>
  <si>
    <t>Jubilaciones del personal de alto nivel y de dirección</t>
  </si>
  <si>
    <t>4.07.01.06.06</t>
  </si>
  <si>
    <t>Aguinaldos de altos funcionarios y altas funcionarias del poder público y de elección popular jubilados</t>
  </si>
  <si>
    <t>4.07.01.06.07</t>
  </si>
  <si>
    <t>Aguinaldos del personal jubilado de alto nivel y de dirección</t>
  </si>
  <si>
    <t>4.07.01.06.11</t>
  </si>
  <si>
    <t>Aportes a caja de ahorro de altos funcionarios y altas funcionarias del poder público y de elección popular jubilados</t>
  </si>
  <si>
    <t>4.07.01.06.12</t>
  </si>
  <si>
    <t>Aportes a caja de ahorro del personal jubilado de alto nivel y de dirección</t>
  </si>
  <si>
    <t>4.07.01.06.16</t>
  </si>
  <si>
    <t>Aportes a los servicios de salud, accidentes personales y gastos funerarios de altos funcionarios y altas funcionarias del poder público y de elección popular jubilados</t>
  </si>
  <si>
    <t>4.07.01.06.17</t>
  </si>
  <si>
    <t>Aportes a los servicios de salud, accidentes personales y gastos funerarios del personal jubilado de alto nivel y de dirección</t>
  </si>
  <si>
    <t>4.07.01.06.98</t>
  </si>
  <si>
    <t>Otras subvenciones de altos funcionarios y altas funcionarias del poder público y de elección popular jubilados</t>
  </si>
  <si>
    <t>4.07.01.06.99</t>
  </si>
  <si>
    <t>Otras subvenciones del personal jubilado de alto nivel y de dirección</t>
  </si>
  <si>
    <t>TOTALES</t>
  </si>
  <si>
    <t>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</si>
</sst>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"/>
    <numFmt numFmtId="165" formatCode="0.0%"/>
    <numFmt numFmtId="166" formatCode="0\ %"/>
    <numFmt numFmtId="167" formatCode="0.00\ %"/>
    <numFmt numFmtId="168" formatCode="&quot;VERDADERO&quot;;&quot;VERDADERO&quot;;&quot;FALSO&quot;"/>
    <numFmt numFmtId="169" formatCode="0.000"/>
    <numFmt numFmtId="170" formatCode="#.00"/>
    <numFmt numFmtId="171" formatCode="dd/mm/yyyy;@"/>
  </numFmts>
  <fonts count="46" x14ac:knownFonts="1">
    <font>
      <sz val="10"/>
      <name val="Arial"/>
      <family val="2"/>
      <charset val="1"/>
    </font>
    <font>
      <sz val="1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22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sz val="11"/>
      <color rgb="FF000000"/>
      <name val="Arial Narrow"/>
      <family val="2"/>
      <charset val="1"/>
    </font>
    <font>
      <sz val="12"/>
      <color rgb="FF000000"/>
      <name val="Calibri"/>
      <family val="2"/>
      <charset val="1"/>
    </font>
    <font>
      <sz val="14"/>
      <name val="Calibri"/>
      <family val="2"/>
      <charset val="1"/>
    </font>
    <font>
      <sz val="13"/>
      <color rgb="FF000000"/>
      <name val="Calibri"/>
      <family val="2"/>
      <charset val="1"/>
    </font>
    <font>
      <sz val="13"/>
      <name val="Calibri"/>
      <family val="2"/>
      <charset val="1"/>
    </font>
    <font>
      <b/>
      <sz val="16"/>
      <name val="Calibri"/>
      <family val="2"/>
      <charset val="1"/>
    </font>
    <font>
      <b/>
      <sz val="14"/>
      <name val="Calibri"/>
      <family val="2"/>
      <charset val="1"/>
    </font>
    <font>
      <b/>
      <sz val="12"/>
      <name val="Calibri"/>
      <family val="2"/>
      <charset val="1"/>
    </font>
    <font>
      <b/>
      <sz val="11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18"/>
      <color rgb="FFFFFFFF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0.5"/>
      <name val="Arial"/>
      <family val="2"/>
      <charset val="1"/>
    </font>
    <font>
      <b/>
      <sz val="10.5"/>
      <color rgb="FF000000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000000"/>
      <name val="Arial"/>
      <family val="2"/>
      <charset val="1"/>
    </font>
    <font>
      <sz val="12"/>
      <color rgb="FF800000"/>
      <name val="Arial"/>
      <family val="2"/>
      <charset val="1"/>
    </font>
    <font>
      <sz val="12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6"/>
      <color rgb="FF000000"/>
      <name val="Arial"/>
      <family val="2"/>
      <charset val="1"/>
    </font>
    <font>
      <sz val="16"/>
      <name val="Arial"/>
      <family val="2"/>
      <charset val="1"/>
    </font>
    <font>
      <b/>
      <sz val="16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4"/>
      <color rgb="FFFF0000"/>
      <name val="Arial"/>
      <family val="2"/>
      <charset val="1"/>
    </font>
    <font>
      <sz val="13"/>
      <name val="Arial"/>
      <family val="2"/>
      <charset val="1"/>
    </font>
    <font>
      <b/>
      <sz val="14"/>
      <color rgb="FFCE181E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5"/>
      <color rgb="FF333333"/>
      <name val="Calibri"/>
      <family val="2"/>
      <charset val="1"/>
    </font>
    <font>
      <b/>
      <sz val="14"/>
      <color rgb="FF333333"/>
      <name val="Arial"/>
      <family val="2"/>
      <charset val="1"/>
    </font>
    <font>
      <sz val="14"/>
      <color rgb="FF0000FF"/>
      <name val="Arial"/>
      <family val="2"/>
      <charset val="1"/>
    </font>
    <font>
      <sz val="14"/>
      <name val="Arial"/>
      <family val="2"/>
      <charset val="1"/>
    </font>
    <font>
      <sz val="14"/>
      <color rgb="FF333333"/>
      <name val="Arial"/>
      <family val="2"/>
      <charset val="1"/>
    </font>
    <font>
      <sz val="10"/>
      <name val="Arial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EEEEEE"/>
        <bgColor rgb="FFE6E6E6"/>
      </patternFill>
    </fill>
    <fill>
      <patternFill patternType="solid">
        <fgColor rgb="FFA9D18E"/>
        <bgColor rgb="FF92D050"/>
      </patternFill>
    </fill>
    <fill>
      <patternFill patternType="solid">
        <fgColor rgb="FFADB9CA"/>
        <bgColor rgb="FFB3B3B3"/>
      </patternFill>
    </fill>
    <fill>
      <patternFill patternType="solid">
        <fgColor rgb="FFFFFFFF"/>
        <bgColor rgb="FFFFFFCC"/>
      </patternFill>
    </fill>
    <fill>
      <patternFill patternType="solid">
        <fgColor rgb="FFCCFF00"/>
        <bgColor rgb="FFFFFF00"/>
      </patternFill>
    </fill>
    <fill>
      <patternFill patternType="solid">
        <fgColor rgb="FFFFFF00"/>
        <bgColor rgb="FFCCFF00"/>
      </patternFill>
    </fill>
    <fill>
      <patternFill patternType="solid">
        <fgColor rgb="FF6666FF"/>
        <bgColor rgb="FF9999FF"/>
      </patternFill>
    </fill>
    <fill>
      <patternFill patternType="solid">
        <fgColor rgb="FFE6E6E6"/>
        <bgColor rgb="FFEEEEEE"/>
      </patternFill>
    </fill>
    <fill>
      <patternFill patternType="solid">
        <fgColor rgb="FFFFFFCC"/>
        <bgColor rgb="FFFFFFFF"/>
      </patternFill>
    </fill>
    <fill>
      <patternFill patternType="solid">
        <fgColor rgb="FF33A3A3"/>
        <bgColor rgb="FF31859C"/>
      </patternFill>
    </fill>
    <fill>
      <patternFill patternType="solid">
        <fgColor rgb="FFFFCC00"/>
        <bgColor rgb="FFFFC000"/>
      </patternFill>
    </fill>
    <fill>
      <patternFill patternType="solid">
        <fgColor rgb="FFFF00FF"/>
        <bgColor rgb="FFFF00FF"/>
      </patternFill>
    </fill>
    <fill>
      <patternFill patternType="solid">
        <fgColor rgb="FFB3B3B3"/>
        <bgColor rgb="FFADB9CA"/>
      </patternFill>
    </fill>
    <fill>
      <patternFill patternType="solid">
        <fgColor rgb="FF77933C"/>
        <bgColor rgb="FF92D050"/>
      </patternFill>
    </fill>
    <fill>
      <patternFill patternType="solid">
        <fgColor rgb="FF9999FF"/>
        <bgColor rgb="FF7DA7D8"/>
      </patternFill>
    </fill>
    <fill>
      <patternFill patternType="solid">
        <fgColor rgb="FF8EB4E3"/>
        <bgColor rgb="FF7DA7D8"/>
      </patternFill>
    </fill>
    <fill>
      <patternFill patternType="solid">
        <fgColor rgb="FF7DA7D8"/>
        <bgColor rgb="FF8EB4E3"/>
      </patternFill>
    </fill>
    <fill>
      <patternFill patternType="solid">
        <fgColor rgb="FFE46C0A"/>
        <bgColor rgb="FFFF3300"/>
      </patternFill>
    </fill>
    <fill>
      <patternFill patternType="solid">
        <fgColor rgb="FFFF3300"/>
        <bgColor rgb="FFCE181E"/>
      </patternFill>
    </fill>
    <fill>
      <patternFill patternType="solid">
        <fgColor rgb="FFCCFF66"/>
        <bgColor rgb="FFFFFF99"/>
      </patternFill>
    </fill>
    <fill>
      <patternFill patternType="solid">
        <fgColor rgb="FFBFBFBF"/>
        <bgColor rgb="FFADB9CA"/>
      </patternFill>
    </fill>
    <fill>
      <patternFill patternType="solid">
        <fgColor rgb="FFFAC090"/>
        <bgColor rgb="FFCCC1DA"/>
      </patternFill>
    </fill>
    <fill>
      <patternFill patternType="solid">
        <fgColor rgb="FFFFFF99"/>
        <bgColor rgb="FFFFFFCC"/>
      </patternFill>
    </fill>
    <fill>
      <patternFill patternType="solid">
        <fgColor rgb="FF92D050"/>
        <bgColor rgb="FFA9D18E"/>
      </patternFill>
    </fill>
    <fill>
      <patternFill patternType="solid">
        <fgColor rgb="FFD99694"/>
        <bgColor rgb="FFB3B3B3"/>
      </patternFill>
    </fill>
    <fill>
      <patternFill patternType="solid">
        <fgColor rgb="FF31859C"/>
        <bgColor rgb="FF33A3A3"/>
      </patternFill>
    </fill>
    <fill>
      <patternFill patternType="solid">
        <fgColor rgb="FFCCC1DA"/>
        <bgColor rgb="FFBFBFBF"/>
      </patternFill>
    </fill>
    <fill>
      <patternFill patternType="solid">
        <fgColor rgb="FFFFC000"/>
        <bgColor rgb="FFFFCC00"/>
      </patternFill>
    </fill>
    <fill>
      <patternFill patternType="solid">
        <fgColor rgb="FF00B0F0"/>
        <bgColor rgb="FF0084D1"/>
      </patternFill>
    </fill>
    <fill>
      <patternFill patternType="solid">
        <fgColor rgb="FFCCCC00"/>
        <bgColor rgb="FFFFCC00"/>
      </patternFill>
    </fill>
    <fill>
      <patternFill patternType="solid">
        <fgColor rgb="FF0084D1"/>
        <bgColor rgb="FF00808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D320"/>
      </left>
      <right style="medium">
        <color rgb="FFFFD320"/>
      </right>
      <top style="medium">
        <color rgb="FFFFD320"/>
      </top>
      <bottom style="medium">
        <color rgb="FFFFD320"/>
      </bottom>
      <diagonal/>
    </border>
  </borders>
  <cellStyleXfs count="2">
    <xf numFmtId="0" fontId="0" fillId="0" borderId="0"/>
    <xf numFmtId="0" fontId="45" fillId="0" borderId="0"/>
  </cellStyleXfs>
  <cellXfs count="251">
    <xf numFmtId="0" fontId="0" fillId="0" borderId="0" xfId="0"/>
    <xf numFmtId="0" fontId="20" fillId="0" borderId="1" xfId="0" applyFont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/>
    </xf>
    <xf numFmtId="14" fontId="19" fillId="10" borderId="5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0" fillId="0" borderId="0" xfId="0"/>
    <xf numFmtId="0" fontId="16" fillId="7" borderId="4" xfId="0" applyFont="1" applyFill="1" applyBorder="1" applyAlignment="1" applyProtection="1">
      <alignment horizontal="center" vertical="center" wrapText="1"/>
      <protection locked="0"/>
    </xf>
    <xf numFmtId="0" fontId="13" fillId="6" borderId="0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4" fontId="3" fillId="0" borderId="2" xfId="0" applyNumberFormat="1" applyFont="1" applyBorder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vertical="center"/>
      <protection locked="0" hidden="1"/>
    </xf>
    <xf numFmtId="0" fontId="0" fillId="3" borderId="0" xfId="0" applyFill="1"/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" fillId="3" borderId="0" xfId="0" applyFont="1" applyFill="1"/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 applyProtection="1">
      <alignment horizontal="center"/>
      <protection hidden="1"/>
    </xf>
    <xf numFmtId="0" fontId="1" fillId="0" borderId="0" xfId="0" applyFont="1" applyBorder="1"/>
    <xf numFmtId="0" fontId="9" fillId="0" borderId="1" xfId="0" applyFont="1" applyBorder="1" applyAlignment="1" applyProtection="1">
      <alignment horizontal="center" wrapText="1"/>
      <protection hidden="1"/>
    </xf>
    <xf numFmtId="166" fontId="9" fillId="0" borderId="1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>
      <alignment horizontal="center" vertical="center"/>
    </xf>
    <xf numFmtId="167" fontId="9" fillId="0" borderId="1" xfId="0" applyNumberFormat="1" applyFont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4" fontId="1" fillId="0" borderId="0" xfId="0" applyNumberFormat="1" applyFont="1"/>
    <xf numFmtId="168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1" fillId="5" borderId="1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>
      <alignment horizontal="center"/>
    </xf>
    <xf numFmtId="169" fontId="12" fillId="5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wrapText="1"/>
      <protection hidden="1"/>
    </xf>
    <xf numFmtId="0" fontId="14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wrapText="1"/>
      <protection hidden="1"/>
    </xf>
    <xf numFmtId="4" fontId="7" fillId="0" borderId="1" xfId="0" applyNumberFormat="1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8" fillId="8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4" fontId="20" fillId="12" borderId="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/>
    </xf>
    <xf numFmtId="167" fontId="21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17" borderId="7" xfId="0" applyNumberFormat="1" applyFont="1" applyFill="1" applyBorder="1" applyAlignment="1" applyProtection="1">
      <alignment horizontal="center" vertical="center" wrapText="1"/>
      <protection locked="0"/>
    </xf>
    <xf numFmtId="4" fontId="20" fillId="7" borderId="7" xfId="0" applyNumberFormat="1" applyFont="1" applyFill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>
      <alignment horizontal="center" vertical="center" wrapText="1"/>
    </xf>
    <xf numFmtId="4" fontId="23" fillId="12" borderId="7" xfId="0" applyNumberFormat="1" applyFont="1" applyFill="1" applyBorder="1" applyAlignment="1" applyProtection="1">
      <alignment horizontal="center" vertical="center" wrapText="1"/>
      <protection locked="0"/>
    </xf>
    <xf numFmtId="4" fontId="23" fillId="21" borderId="7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23" fillId="6" borderId="7" xfId="0" applyNumberFormat="1" applyFont="1" applyFill="1" applyBorder="1" applyAlignment="1" applyProtection="1">
      <alignment horizontal="center" vertical="center" wrapText="1"/>
      <protection locked="0"/>
    </xf>
    <xf numFmtId="4" fontId="23" fillId="22" borderId="7" xfId="0" applyNumberFormat="1" applyFont="1" applyFill="1" applyBorder="1" applyAlignment="1" applyProtection="1">
      <alignment horizontal="center" vertical="center" wrapText="1"/>
      <protection locked="0"/>
    </xf>
    <xf numFmtId="3" fontId="22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22" fillId="0" borderId="0" xfId="0" applyFont="1" applyProtection="1">
      <protection locked="0"/>
    </xf>
    <xf numFmtId="0" fontId="19" fillId="23" borderId="7" xfId="0" applyFont="1" applyFill="1" applyBorder="1" applyAlignment="1" applyProtection="1">
      <alignment horizontal="center" vertical="center" wrapText="1"/>
      <protection locked="0"/>
    </xf>
    <xf numFmtId="0" fontId="24" fillId="23" borderId="7" xfId="0" applyFont="1" applyFill="1" applyBorder="1" applyAlignment="1" applyProtection="1">
      <alignment horizontal="center" vertical="center" wrapText="1"/>
      <protection locked="0"/>
    </xf>
    <xf numFmtId="0" fontId="25" fillId="23" borderId="7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3" fontId="21" fillId="0" borderId="7" xfId="0" applyNumberFormat="1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14" fontId="21" fillId="0" borderId="7" xfId="0" applyNumberFormat="1" applyFont="1" applyBorder="1" applyAlignment="1" applyProtection="1">
      <alignment horizontal="center" vertical="center"/>
      <protection locked="0"/>
    </xf>
    <xf numFmtId="4" fontId="21" fillId="0" borderId="7" xfId="0" applyNumberFormat="1" applyFont="1" applyBorder="1" applyAlignment="1" applyProtection="1">
      <alignment horizontal="center" vertical="center" wrapText="1"/>
      <protection locked="0"/>
    </xf>
    <xf numFmtId="1" fontId="26" fillId="0" borderId="7" xfId="0" applyNumberFormat="1" applyFont="1" applyBorder="1" applyAlignment="1" applyProtection="1">
      <alignment horizontal="center" vertical="center" wrapText="1"/>
      <protection locked="0"/>
    </xf>
    <xf numFmtId="1" fontId="21" fillId="0" borderId="7" xfId="0" applyNumberFormat="1" applyFont="1" applyBorder="1" applyAlignment="1" applyProtection="1">
      <alignment horizontal="center" vertical="center" wrapText="1"/>
      <protection locked="0"/>
    </xf>
    <xf numFmtId="4" fontId="27" fillId="0" borderId="7" xfId="0" applyNumberFormat="1" applyFont="1" applyBorder="1" applyAlignment="1" applyProtection="1">
      <alignment horizontal="center" vertical="center"/>
      <protection locked="0"/>
    </xf>
    <xf numFmtId="4" fontId="21" fillId="0" borderId="7" xfId="0" applyNumberFormat="1" applyFont="1" applyBorder="1" applyAlignment="1" applyProtection="1">
      <alignment horizontal="center" vertical="center"/>
      <protection locked="0"/>
    </xf>
    <xf numFmtId="4" fontId="20" fillId="7" borderId="7" xfId="0" applyNumberFormat="1" applyFont="1" applyFill="1" applyBorder="1" applyAlignment="1" applyProtection="1">
      <alignment horizontal="center" vertical="center"/>
      <protection locked="0"/>
    </xf>
    <xf numFmtId="4" fontId="21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0" fillId="0" borderId="7" xfId="0" applyFont="1" applyBorder="1" applyAlignment="1" applyProtection="1">
      <alignment horizontal="center"/>
      <protection locked="0"/>
    </xf>
    <xf numFmtId="3" fontId="21" fillId="0" borderId="7" xfId="0" applyNumberFormat="1" applyFont="1" applyBorder="1" applyAlignment="1" applyProtection="1">
      <alignment horizontal="center"/>
      <protection locked="0"/>
    </xf>
    <xf numFmtId="0" fontId="21" fillId="0" borderId="7" xfId="0" applyFont="1" applyBorder="1" applyAlignment="1" applyProtection="1">
      <alignment horizontal="center"/>
      <protection locked="0"/>
    </xf>
    <xf numFmtId="14" fontId="21" fillId="0" borderId="7" xfId="0" applyNumberFormat="1" applyFont="1" applyBorder="1" applyAlignment="1" applyProtection="1">
      <alignment horizontal="center"/>
      <protection locked="0"/>
    </xf>
    <xf numFmtId="4" fontId="26" fillId="0" borderId="7" xfId="0" applyNumberFormat="1" applyFont="1" applyBorder="1" applyAlignment="1" applyProtection="1">
      <alignment horizontal="center" vertical="center" wrapText="1"/>
      <protection locked="0"/>
    </xf>
    <xf numFmtId="4" fontId="27" fillId="0" borderId="7" xfId="0" applyNumberFormat="1" applyFont="1" applyBorder="1" applyAlignment="1" applyProtection="1">
      <alignment horizontal="center"/>
      <protection locked="0"/>
    </xf>
    <xf numFmtId="170" fontId="27" fillId="0" borderId="7" xfId="0" applyNumberFormat="1" applyFont="1" applyBorder="1" applyAlignment="1" applyProtection="1">
      <alignment horizontal="center"/>
      <protection locked="0"/>
    </xf>
    <xf numFmtId="4" fontId="21" fillId="0" borderId="7" xfId="0" applyNumberFormat="1" applyFont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16" fillId="7" borderId="7" xfId="0" applyFont="1" applyFill="1" applyBorder="1" applyAlignment="1" applyProtection="1">
      <alignment horizontal="left"/>
      <protection locked="0"/>
    </xf>
    <xf numFmtId="0" fontId="16" fillId="7" borderId="7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29" fillId="0" borderId="1" xfId="0" applyFont="1" applyBorder="1" applyAlignment="1" applyProtection="1">
      <alignment wrapText="1"/>
      <protection locked="0"/>
    </xf>
    <xf numFmtId="0" fontId="19" fillId="24" borderId="1" xfId="0" applyFont="1" applyFill="1" applyBorder="1" applyAlignment="1" applyProtection="1">
      <alignment horizontal="center"/>
      <protection locked="0"/>
    </xf>
    <xf numFmtId="4" fontId="20" fillId="0" borderId="1" xfId="0" applyNumberFormat="1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4" fontId="20" fillId="7" borderId="1" xfId="0" applyNumberFormat="1" applyFont="1" applyFill="1" applyBorder="1" applyProtection="1">
      <protection locked="0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hidden="1"/>
    </xf>
    <xf numFmtId="0" fontId="31" fillId="0" borderId="0" xfId="0" applyFont="1" applyBorder="1"/>
    <xf numFmtId="0" fontId="19" fillId="25" borderId="9" xfId="0" applyFont="1" applyFill="1" applyBorder="1" applyAlignment="1" applyProtection="1">
      <alignment horizontal="center" vertical="center"/>
      <protection locked="0"/>
    </xf>
    <xf numFmtId="0" fontId="32" fillId="0" borderId="0" xfId="0" applyFont="1"/>
    <xf numFmtId="14" fontId="19" fillId="25" borderId="8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0" fillId="21" borderId="5" xfId="0" applyNumberFormat="1" applyFill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3" fontId="17" fillId="26" borderId="12" xfId="0" applyNumberFormat="1" applyFont="1" applyFill="1" applyBorder="1" applyAlignment="1">
      <alignment horizontal="center"/>
    </xf>
    <xf numFmtId="3" fontId="17" fillId="27" borderId="12" xfId="0" applyNumberFormat="1" applyFont="1" applyFill="1" applyBorder="1" applyAlignment="1">
      <alignment horizontal="center"/>
    </xf>
    <xf numFmtId="3" fontId="17" fillId="28" borderId="12" xfId="0" applyNumberFormat="1" applyFont="1" applyFill="1" applyBorder="1" applyAlignment="1">
      <alignment horizontal="center"/>
    </xf>
    <xf numFmtId="3" fontId="17" fillId="29" borderId="12" xfId="0" applyNumberFormat="1" applyFont="1" applyFill="1" applyBorder="1" applyAlignment="1">
      <alignment horizontal="center"/>
    </xf>
    <xf numFmtId="3" fontId="17" fillId="29" borderId="13" xfId="0" applyNumberFormat="1" applyFont="1" applyFill="1" applyBorder="1" applyAlignment="1">
      <alignment horizontal="center"/>
    </xf>
    <xf numFmtId="3" fontId="17" fillId="30" borderId="12" xfId="0" applyNumberFormat="1" applyFont="1" applyFill="1" applyBorder="1" applyAlignment="1">
      <alignment horizontal="center"/>
    </xf>
    <xf numFmtId="3" fontId="17" fillId="15" borderId="14" xfId="0" applyNumberFormat="1" applyFont="1" applyFill="1" applyBorder="1" applyAlignment="1">
      <alignment horizontal="center"/>
    </xf>
    <xf numFmtId="3" fontId="17" fillId="19" borderId="12" xfId="0" applyNumberFormat="1" applyFont="1" applyFill="1" applyBorder="1" applyAlignment="1">
      <alignment horizontal="center"/>
    </xf>
    <xf numFmtId="3" fontId="17" fillId="19" borderId="14" xfId="0" applyNumberFormat="1" applyFont="1" applyFill="1" applyBorder="1" applyAlignment="1">
      <alignment horizontal="center"/>
    </xf>
    <xf numFmtId="3" fontId="17" fillId="20" borderId="12" xfId="0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center" vertical="center" wrapText="1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0" borderId="11" xfId="0" applyFont="1" applyBorder="1" applyAlignment="1">
      <alignment horizontal="center" vertical="center" wrapText="1"/>
    </xf>
    <xf numFmtId="4" fontId="35" fillId="22" borderId="16" xfId="0" applyNumberFormat="1" applyFont="1" applyFill="1" applyBorder="1" applyAlignment="1">
      <alignment horizontal="center" vertical="center" wrapText="1"/>
    </xf>
    <xf numFmtId="4" fontId="35" fillId="22" borderId="17" xfId="0" applyNumberFormat="1" applyFont="1" applyFill="1" applyBorder="1" applyAlignment="1">
      <alignment horizontal="center" vertical="center" wrapText="1"/>
    </xf>
    <xf numFmtId="3" fontId="34" fillId="7" borderId="11" xfId="0" applyNumberFormat="1" applyFont="1" applyFill="1" applyBorder="1" applyAlignment="1">
      <alignment horizontal="center" vertical="center" wrapText="1"/>
    </xf>
    <xf numFmtId="0" fontId="25" fillId="23" borderId="4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3" fontId="21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center"/>
    </xf>
    <xf numFmtId="171" fontId="21" fillId="5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wrapText="1"/>
      <protection hidden="1"/>
    </xf>
    <xf numFmtId="0" fontId="27" fillId="5" borderId="1" xfId="0" applyFont="1" applyFill="1" applyBorder="1" applyAlignment="1" applyProtection="1">
      <alignment horizontal="center" wrapText="1"/>
      <protection hidden="1"/>
    </xf>
    <xf numFmtId="0" fontId="27" fillId="5" borderId="20" xfId="0" applyFont="1" applyFill="1" applyBorder="1" applyAlignment="1" applyProtection="1">
      <alignment horizontal="center" wrapText="1"/>
      <protection hidden="1"/>
    </xf>
    <xf numFmtId="4" fontId="21" fillId="0" borderId="20" xfId="0" applyNumberFormat="1" applyFont="1" applyBorder="1" applyAlignment="1" applyProtection="1">
      <alignment horizontal="right"/>
      <protection locked="0"/>
    </xf>
    <xf numFmtId="0" fontId="21" fillId="0" borderId="20" xfId="0" applyFont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" fontId="20" fillId="7" borderId="2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/>
    <xf numFmtId="0" fontId="1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protection locked="0"/>
    </xf>
    <xf numFmtId="0" fontId="20" fillId="0" borderId="1" xfId="0" applyFont="1" applyBorder="1" applyAlignment="1">
      <alignment horizontal="center"/>
    </xf>
    <xf numFmtId="4" fontId="20" fillId="0" borderId="1" xfId="0" applyNumberFormat="1" applyFont="1" applyBorder="1"/>
    <xf numFmtId="4" fontId="20" fillId="7" borderId="1" xfId="0" applyNumberFormat="1" applyFont="1" applyFill="1" applyBorder="1"/>
    <xf numFmtId="4" fontId="0" fillId="0" borderId="0" xfId="0" applyNumberFormat="1" applyAlignment="1">
      <alignment horizontal="right"/>
    </xf>
    <xf numFmtId="4" fontId="20" fillId="0" borderId="0" xfId="0" applyNumberFormat="1" applyFont="1" applyBorder="1" applyAlignment="1" applyProtection="1">
      <alignment horizontal="center"/>
      <protection locked="0"/>
    </xf>
    <xf numFmtId="4" fontId="20" fillId="7" borderId="1" xfId="0" applyNumberFormat="1" applyFont="1" applyFill="1" applyBorder="1" applyAlignment="1" applyProtection="1">
      <alignment horizontal="center"/>
      <protection locked="0"/>
    </xf>
    <xf numFmtId="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3" fontId="17" fillId="15" borderId="12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14" fontId="27" fillId="0" borderId="20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4" fontId="21" fillId="0" borderId="1" xfId="0" applyNumberFormat="1" applyFont="1" applyBorder="1" applyAlignment="1" applyProtection="1">
      <alignment horizontal="right"/>
      <protection locked="0"/>
    </xf>
    <xf numFmtId="0" fontId="20" fillId="0" borderId="22" xfId="0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4" fontId="21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4" fontId="20" fillId="7" borderId="24" xfId="0" applyNumberFormat="1" applyFont="1" applyFill="1" applyBorder="1" applyAlignment="1" applyProtection="1">
      <alignment horizontal="right"/>
      <protection locked="0"/>
    </xf>
    <xf numFmtId="0" fontId="37" fillId="0" borderId="1" xfId="0" applyFont="1" applyBorder="1" applyAlignment="1">
      <alignment horizontal="center"/>
    </xf>
    <xf numFmtId="4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37" fillId="0" borderId="0" xfId="0" applyFont="1" applyBorder="1" applyAlignment="1">
      <alignment horizontal="center"/>
    </xf>
    <xf numFmtId="4" fontId="17" fillId="0" borderId="7" xfId="0" applyNumberFormat="1" applyFont="1" applyBorder="1" applyAlignment="1" applyProtection="1">
      <alignment horizontal="center"/>
      <protection locked="0"/>
    </xf>
    <xf numFmtId="4" fontId="17" fillId="0" borderId="1" xfId="0" applyNumberFormat="1" applyFont="1" applyBorder="1" applyAlignment="1" applyProtection="1">
      <alignment horizontal="center"/>
      <protection locked="0"/>
    </xf>
    <xf numFmtId="4" fontId="17" fillId="0" borderId="0" xfId="0" applyNumberFormat="1" applyFont="1" applyAlignment="1" applyProtection="1">
      <alignment horizontal="center"/>
      <protection locked="0"/>
    </xf>
    <xf numFmtId="0" fontId="38" fillId="0" borderId="25" xfId="0" applyFont="1" applyBorder="1" applyAlignment="1">
      <alignment horizontal="center" vertical="center"/>
    </xf>
    <xf numFmtId="0" fontId="39" fillId="32" borderId="1" xfId="0" applyFont="1" applyFill="1" applyBorder="1" applyAlignment="1" applyProtection="1">
      <alignment horizontal="center" vertical="center" wrapText="1"/>
      <protection locked="0"/>
    </xf>
    <xf numFmtId="0" fontId="40" fillId="0" borderId="1" xfId="1" applyFont="1" applyBorder="1" applyAlignment="1" applyProtection="1">
      <alignment horizontal="center" vertical="center"/>
      <protection locked="0"/>
    </xf>
    <xf numFmtId="0" fontId="41" fillId="0" borderId="1" xfId="1" applyFont="1" applyBorder="1" applyAlignment="1" applyProtection="1">
      <alignment horizontal="center" vertical="top"/>
      <protection hidden="1"/>
    </xf>
    <xf numFmtId="0" fontId="41" fillId="0" borderId="1" xfId="1" applyFont="1" applyBorder="1" applyAlignment="1" applyProtection="1">
      <alignment horizontal="justify" vertical="top"/>
      <protection hidden="1"/>
    </xf>
    <xf numFmtId="4" fontId="41" fillId="0" borderId="1" xfId="1" applyNumberFormat="1" applyFont="1" applyBorder="1" applyAlignment="1" applyProtection="1">
      <protection hidden="1"/>
    </xf>
    <xf numFmtId="0" fontId="42" fillId="0" borderId="1" xfId="1" applyFont="1" applyBorder="1" applyAlignment="1" applyProtection="1">
      <alignment horizontal="center" vertical="top"/>
      <protection hidden="1"/>
    </xf>
    <xf numFmtId="0" fontId="42" fillId="0" borderId="1" xfId="1" applyFont="1" applyBorder="1" applyAlignment="1" applyProtection="1">
      <alignment horizontal="justify" vertical="top" wrapText="1"/>
      <protection hidden="1"/>
    </xf>
    <xf numFmtId="4" fontId="42" fillId="0" borderId="1" xfId="1" applyNumberFormat="1" applyFont="1" applyBorder="1" applyAlignment="1" applyProtection="1">
      <protection hidden="1"/>
    </xf>
    <xf numFmtId="0" fontId="43" fillId="0" borderId="1" xfId="1" applyFont="1" applyBorder="1" applyAlignment="1" applyProtection="1">
      <alignment horizontal="center" vertical="top"/>
      <protection hidden="1"/>
    </xf>
    <xf numFmtId="0" fontId="43" fillId="0" borderId="1" xfId="1" applyFont="1" applyBorder="1" applyAlignment="1" applyProtection="1">
      <alignment horizontal="justify" vertical="top" wrapText="1"/>
      <protection hidden="1"/>
    </xf>
    <xf numFmtId="4" fontId="44" fillId="0" borderId="1" xfId="1" applyNumberFormat="1" applyFont="1" applyBorder="1" applyAlignment="1" applyProtection="1">
      <protection hidden="1"/>
    </xf>
    <xf numFmtId="0" fontId="41" fillId="0" borderId="1" xfId="1" applyFont="1" applyBorder="1" applyAlignment="1" applyProtection="1">
      <alignment horizontal="justify" vertical="top" wrapText="1"/>
      <protection hidden="1"/>
    </xf>
    <xf numFmtId="0" fontId="43" fillId="0" borderId="1" xfId="1" applyFont="1" applyBorder="1" applyAlignment="1" applyProtection="1">
      <alignment horizontal="center"/>
      <protection hidden="1"/>
    </xf>
    <xf numFmtId="0" fontId="43" fillId="0" borderId="1" xfId="1" applyFont="1" applyBorder="1" applyAlignment="1" applyProtection="1">
      <alignment horizontal="justify" vertical="top"/>
      <protection hidden="1"/>
    </xf>
    <xf numFmtId="4" fontId="39" fillId="32" borderId="1" xfId="0" applyNumberFormat="1" applyFont="1" applyFill="1" applyBorder="1" applyAlignment="1" applyProtection="1">
      <alignment horizontal="center" vertical="center" wrapText="1"/>
      <protection locked="0"/>
    </xf>
    <xf numFmtId="4" fontId="20" fillId="7" borderId="1" xfId="0" applyNumberFormat="1" applyFont="1" applyFill="1" applyBorder="1" applyAlignment="1" applyProtection="1">
      <alignment horizontal="center" vertical="center"/>
      <protection locked="0"/>
    </xf>
    <xf numFmtId="4" fontId="20" fillId="7" borderId="1" xfId="0" applyNumberFormat="1" applyFont="1" applyFill="1" applyBorder="1" applyAlignment="1" applyProtection="1">
      <alignment horizontal="center" vertical="center" wrapText="1"/>
      <protection locked="0"/>
    </xf>
    <xf numFmtId="4" fontId="20" fillId="12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1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0" fontId="19" fillId="15" borderId="7" xfId="0" applyFont="1" applyFill="1" applyBorder="1" applyAlignment="1" applyProtection="1">
      <alignment horizontal="center" vertical="center"/>
      <protection locked="0"/>
    </xf>
    <xf numFmtId="0" fontId="19" fillId="16" borderId="7" xfId="0" applyFont="1" applyFill="1" applyBorder="1" applyAlignment="1" applyProtection="1">
      <alignment horizontal="center" vertical="center"/>
      <protection locked="0"/>
    </xf>
    <xf numFmtId="4" fontId="20" fillId="17" borderId="7" xfId="0" applyNumberFormat="1" applyFont="1" applyFill="1" applyBorder="1" applyAlignment="1" applyProtection="1">
      <alignment horizontal="center" vertical="center" wrapText="1"/>
      <protection locked="0"/>
    </xf>
    <xf numFmtId="4" fontId="19" fillId="15" borderId="4" xfId="0" applyNumberFormat="1" applyFont="1" applyFill="1" applyBorder="1" applyAlignment="1" applyProtection="1">
      <alignment horizontal="center" vertical="center" wrapText="1"/>
      <protection locked="0"/>
    </xf>
    <xf numFmtId="4" fontId="19" fillId="18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15" borderId="7" xfId="0" applyFont="1" applyFill="1" applyBorder="1" applyAlignment="1" applyProtection="1">
      <alignment horizontal="center" vertical="center" wrapText="1"/>
      <protection locked="0"/>
    </xf>
    <xf numFmtId="0" fontId="20" fillId="8" borderId="7" xfId="0" applyFont="1" applyFill="1" applyBorder="1" applyAlignment="1" applyProtection="1">
      <alignment horizontal="center" vertical="center" wrapText="1"/>
      <protection locked="0"/>
    </xf>
    <xf numFmtId="0" fontId="20" fillId="19" borderId="7" xfId="0" applyFont="1" applyFill="1" applyBorder="1" applyAlignment="1" applyProtection="1">
      <alignment horizontal="center" vertical="center" wrapText="1"/>
      <protection locked="0"/>
    </xf>
    <xf numFmtId="0" fontId="20" fillId="20" borderId="7" xfId="0" applyFont="1" applyFill="1" applyBorder="1" applyAlignment="1" applyProtection="1">
      <alignment horizontal="center" vertical="center" wrapText="1"/>
      <protection locked="0"/>
    </xf>
    <xf numFmtId="0" fontId="19" fillId="23" borderId="7" xfId="0" applyFont="1" applyFill="1" applyBorder="1" applyAlignment="1" applyProtection="1">
      <alignment horizontal="center" vertical="center" wrapText="1"/>
      <protection locked="0"/>
    </xf>
    <xf numFmtId="0" fontId="16" fillId="7" borderId="7" xfId="0" applyFont="1" applyFill="1" applyBorder="1" applyAlignment="1" applyProtection="1">
      <alignment horizontal="left" vertical="center"/>
      <protection locked="0"/>
    </xf>
    <xf numFmtId="0" fontId="19" fillId="25" borderId="8" xfId="0" applyFont="1" applyFill="1" applyBorder="1" applyAlignment="1" applyProtection="1">
      <alignment horizontal="center" vertical="center" wrapText="1"/>
      <protection locked="0"/>
    </xf>
    <xf numFmtId="4" fontId="20" fillId="26" borderId="4" xfId="0" applyNumberFormat="1" applyFont="1" applyFill="1" applyBorder="1" applyAlignment="1">
      <alignment horizontal="center" vertical="center" wrapText="1"/>
    </xf>
    <xf numFmtId="4" fontId="20" fillId="27" borderId="4" xfId="0" applyNumberFormat="1" applyFont="1" applyFill="1" applyBorder="1" applyAlignment="1">
      <alignment horizontal="center" vertical="center" wrapText="1"/>
    </xf>
    <xf numFmtId="4" fontId="20" fillId="28" borderId="10" xfId="0" applyNumberFormat="1" applyFont="1" applyFill="1" applyBorder="1" applyAlignment="1">
      <alignment horizontal="center" vertical="center" wrapText="1"/>
    </xf>
    <xf numFmtId="4" fontId="20" fillId="29" borderId="4" xfId="0" applyNumberFormat="1" applyFont="1" applyFill="1" applyBorder="1" applyAlignment="1">
      <alignment horizontal="center" vertical="center" wrapText="1"/>
    </xf>
    <xf numFmtId="4" fontId="20" fillId="30" borderId="4" xfId="0" applyNumberFormat="1" applyFont="1" applyFill="1" applyBorder="1" applyAlignment="1">
      <alignment horizontal="center" vertical="center" wrapText="1"/>
    </xf>
    <xf numFmtId="0" fontId="20" fillId="15" borderId="4" xfId="0" applyFont="1" applyFill="1" applyBorder="1" applyAlignment="1">
      <alignment horizontal="center" vertical="center" wrapText="1"/>
    </xf>
    <xf numFmtId="0" fontId="20" fillId="19" borderId="4" xfId="0" applyFont="1" applyFill="1" applyBorder="1" applyAlignment="1">
      <alignment horizontal="center" vertical="center" wrapText="1"/>
    </xf>
    <xf numFmtId="0" fontId="20" fillId="20" borderId="4" xfId="0" applyFont="1" applyFill="1" applyBorder="1" applyAlignment="1">
      <alignment horizontal="center" vertical="center" wrapText="1"/>
    </xf>
    <xf numFmtId="3" fontId="20" fillId="7" borderId="11" xfId="0" applyNumberFormat="1" applyFont="1" applyFill="1" applyBorder="1" applyAlignment="1">
      <alignment horizontal="center" vertical="center" wrapText="1"/>
    </xf>
    <xf numFmtId="0" fontId="19" fillId="25" borderId="4" xfId="0" applyFont="1" applyFill="1" applyBorder="1" applyAlignment="1" applyProtection="1">
      <alignment horizontal="center" vertical="center"/>
      <protection locked="0"/>
    </xf>
    <xf numFmtId="0" fontId="19" fillId="25" borderId="11" xfId="0" applyFont="1" applyFill="1" applyBorder="1" applyAlignment="1" applyProtection="1">
      <alignment horizontal="center" vertical="center"/>
      <protection locked="0"/>
    </xf>
    <xf numFmtId="0" fontId="33" fillId="26" borderId="11" xfId="0" applyFont="1" applyFill="1" applyBorder="1" applyAlignment="1">
      <alignment horizontal="center" vertical="center" wrapText="1"/>
    </xf>
    <xf numFmtId="0" fontId="24" fillId="23" borderId="4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left"/>
    </xf>
    <xf numFmtId="0" fontId="20" fillId="0" borderId="0" xfId="0" applyFont="1" applyBorder="1" applyAlignment="1" applyProtection="1">
      <alignment horizontal="center" vertical="center" wrapText="1"/>
      <protection locked="0"/>
    </xf>
    <xf numFmtId="4" fontId="20" fillId="27" borderId="7" xfId="0" applyNumberFormat="1" applyFont="1" applyFill="1" applyBorder="1" applyAlignment="1" applyProtection="1">
      <alignment horizontal="center" vertical="center" wrapText="1"/>
      <protection locked="0"/>
    </xf>
    <xf numFmtId="4" fontId="20" fillId="29" borderId="7" xfId="0" applyNumberFormat="1" applyFont="1" applyFill="1" applyBorder="1" applyAlignment="1" applyProtection="1">
      <alignment horizontal="center" vertical="center" wrapText="1"/>
      <protection locked="0"/>
    </xf>
    <xf numFmtId="0" fontId="36" fillId="7" borderId="7" xfId="0" applyFont="1" applyFill="1" applyBorder="1" applyAlignment="1" applyProtection="1">
      <alignment horizontal="left" vertical="center"/>
      <protection locked="0"/>
    </xf>
    <xf numFmtId="0" fontId="16" fillId="7" borderId="7" xfId="0" applyFont="1" applyFill="1" applyBorder="1" applyAlignment="1" applyProtection="1">
      <alignment horizontal="center" vertical="center"/>
      <protection locked="0"/>
    </xf>
    <xf numFmtId="14" fontId="19" fillId="1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31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9" fillId="32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Texto explicativo" xfId="1" builtinId="53" customBuiltin="1"/>
  </cellStyles>
  <dxfs count="2">
    <dxf>
      <font>
        <b/>
        <i val="0"/>
        <color rgb="FF000000"/>
        <name val="Arial"/>
      </font>
    </dxf>
    <dxf>
      <font>
        <b/>
        <i val="0"/>
        <color rgb="FFFFFFFF"/>
        <name val="Arial"/>
      </font>
      <fill>
        <patternFill>
          <bgColor rgb="FFCC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31859C"/>
      <rgbColor rgb="FFBFBFBF"/>
      <rgbColor rgb="FFA9D18E"/>
      <rgbColor rgb="FF9999FF"/>
      <rgbColor rgb="FFFF3300"/>
      <rgbColor rgb="FFFFFFCC"/>
      <rgbColor rgb="FFEEEEEE"/>
      <rgbColor rgb="FF660066"/>
      <rgbColor rgb="FFD99694"/>
      <rgbColor rgb="FF0084D1"/>
      <rgbColor rgb="FFCCC1DA"/>
      <rgbColor rgb="FF000080"/>
      <rgbColor rgb="FFFF00FF"/>
      <rgbColor rgb="FFCCFF00"/>
      <rgbColor rgb="FF00FFFF"/>
      <rgbColor rgb="FF800080"/>
      <rgbColor rgb="FFCC0000"/>
      <rgbColor rgb="FF008080"/>
      <rgbColor rgb="FF0000FF"/>
      <rgbColor rgb="FF00B0F0"/>
      <rgbColor rgb="FFE6E6E6"/>
      <rgbColor rgb="FFCCFF66"/>
      <rgbColor rgb="FFFFFF99"/>
      <rgbColor rgb="FF8EB4E3"/>
      <rgbColor rgb="FFB3B3B3"/>
      <rgbColor rgb="FFADB9CA"/>
      <rgbColor rgb="FFFAC090"/>
      <rgbColor rgb="FF6666FF"/>
      <rgbColor rgb="FFCCCC00"/>
      <rgbColor rgb="FF92D050"/>
      <rgbColor rgb="FFFFCC00"/>
      <rgbColor rgb="FFFFC000"/>
      <rgbColor rgb="FFE46C0A"/>
      <rgbColor rgb="FFFFD320"/>
      <rgbColor rgb="FF7DA7D8"/>
      <rgbColor rgb="FF003366"/>
      <rgbColor rgb="FF33A3A3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MG89"/>
  <sheetViews>
    <sheetView showGridLines="0" zoomScale="60" zoomScaleNormal="60" workbookViewId="0">
      <selection activeCell="F21" sqref="F21"/>
    </sheetView>
  </sheetViews>
  <sheetFormatPr baseColWidth="10" defaultColWidth="9.140625" defaultRowHeight="12.75" x14ac:dyDescent="0.2"/>
  <cols>
    <col min="1" max="1" width="3.140625" customWidth="1"/>
    <col min="2" max="2" width="5.140625" customWidth="1"/>
    <col min="3" max="3" width="23.7109375" style="15" customWidth="1"/>
    <col min="4" max="4" width="12.28515625" style="15" customWidth="1"/>
    <col min="5" max="5" width="18.42578125" style="16" customWidth="1"/>
    <col min="6" max="6" width="20.28515625" style="15" customWidth="1"/>
    <col min="7" max="7" width="23.85546875" style="15" customWidth="1"/>
    <col min="8" max="8" width="26.28515625" style="15" customWidth="1"/>
    <col min="9" max="9" width="22.5703125" style="15" customWidth="1"/>
    <col min="10" max="10" width="23" style="15" customWidth="1"/>
    <col min="11" max="11" width="8.5703125" style="15" customWidth="1"/>
    <col min="12" max="12" width="3.140625" style="15" customWidth="1"/>
    <col min="13" max="13" width="21.28515625" style="15" customWidth="1"/>
    <col min="14" max="14" width="10.28515625" style="15" customWidth="1"/>
    <col min="15" max="15" width="12.42578125" style="15" customWidth="1"/>
    <col min="16" max="22" width="9.5703125" style="15" customWidth="1"/>
    <col min="23" max="23" width="12.5703125" style="15" customWidth="1"/>
    <col min="24" max="25" width="13.7109375" style="15" customWidth="1"/>
    <col min="26" max="28" width="13.42578125" style="15" customWidth="1"/>
    <col min="29" max="982" width="9.5703125" style="15" customWidth="1"/>
    <col min="983" max="1021" width="8" style="15" customWidth="1"/>
    <col min="1022" max="1025" width="8" customWidth="1"/>
  </cols>
  <sheetData>
    <row r="1" spans="1:16" ht="18.95" customHeight="1" x14ac:dyDescent="0.2">
      <c r="C1"/>
      <c r="D1"/>
      <c r="E1" s="15"/>
      <c r="F1"/>
      <c r="G1"/>
      <c r="H1"/>
      <c r="I1"/>
      <c r="J1"/>
      <c r="K1"/>
      <c r="L1"/>
      <c r="M1"/>
      <c r="N1"/>
      <c r="O1"/>
      <c r="P1"/>
    </row>
    <row r="2" spans="1:16" ht="18.95" customHeight="1" x14ac:dyDescent="0.2">
      <c r="C2" s="17" t="s">
        <v>0</v>
      </c>
      <c r="D2" s="14" t="s">
        <v>1</v>
      </c>
      <c r="E2" s="14"/>
      <c r="F2"/>
      <c r="G2"/>
      <c r="H2"/>
      <c r="I2"/>
      <c r="J2"/>
      <c r="K2"/>
      <c r="L2"/>
      <c r="M2"/>
      <c r="N2"/>
      <c r="O2"/>
      <c r="P2"/>
    </row>
    <row r="3" spans="1:16" ht="18.95" customHeight="1" x14ac:dyDescent="0.2">
      <c r="C3" s="17" t="s">
        <v>2</v>
      </c>
      <c r="D3" s="13" t="s">
        <v>3</v>
      </c>
      <c r="E3" s="13"/>
      <c r="F3"/>
      <c r="G3"/>
      <c r="H3"/>
      <c r="I3"/>
      <c r="J3"/>
      <c r="K3"/>
      <c r="L3"/>
      <c r="M3"/>
      <c r="N3"/>
      <c r="O3"/>
      <c r="P3"/>
    </row>
    <row r="4" spans="1:16" ht="18.95" customHeight="1" x14ac:dyDescent="0.2">
      <c r="C4" s="17" t="s">
        <v>4</v>
      </c>
      <c r="D4" s="12" t="s">
        <v>5</v>
      </c>
      <c r="E4" s="12"/>
      <c r="F4" s="18">
        <f>+VLOOKUP(D4,$C$26:$E$37,3,0)</f>
        <v>43373</v>
      </c>
      <c r="G4" s="19"/>
      <c r="H4"/>
      <c r="I4"/>
      <c r="J4"/>
      <c r="K4"/>
      <c r="L4"/>
      <c r="M4"/>
      <c r="N4"/>
      <c r="O4"/>
      <c r="P4"/>
    </row>
    <row r="5" spans="1:16" ht="18.95" customHeight="1" x14ac:dyDescent="0.2">
      <c r="C5"/>
      <c r="D5"/>
      <c r="E5" s="15"/>
      <c r="F5"/>
      <c r="G5"/>
      <c r="H5"/>
      <c r="I5"/>
      <c r="J5"/>
      <c r="K5"/>
      <c r="L5"/>
      <c r="M5"/>
      <c r="N5"/>
      <c r="O5"/>
      <c r="P5"/>
    </row>
    <row r="6" spans="1:16" ht="18.95" customHeight="1" x14ac:dyDescent="0.2">
      <c r="A6" s="20"/>
      <c r="B6" s="20"/>
      <c r="C6" s="11" t="s">
        <v>6</v>
      </c>
      <c r="D6" s="11"/>
      <c r="E6" s="11"/>
      <c r="F6" s="11"/>
      <c r="G6" s="11"/>
      <c r="H6" s="11"/>
      <c r="I6" s="11"/>
      <c r="J6" s="21"/>
      <c r="K6" s="21"/>
      <c r="L6" s="22"/>
      <c r="M6" s="23"/>
      <c r="N6" s="23"/>
      <c r="O6" s="23"/>
      <c r="P6" s="23"/>
    </row>
    <row r="7" spans="1:16" ht="18.95" customHeight="1" x14ac:dyDescent="0.2">
      <c r="A7" s="20"/>
      <c r="C7"/>
      <c r="D7"/>
      <c r="E7" s="15"/>
      <c r="F7"/>
      <c r="H7"/>
      <c r="I7"/>
      <c r="J7"/>
      <c r="K7"/>
      <c r="L7" s="20"/>
      <c r="M7"/>
      <c r="N7"/>
    </row>
    <row r="8" spans="1:16" ht="18.95" customHeight="1" x14ac:dyDescent="0.2">
      <c r="A8" s="20"/>
      <c r="C8"/>
      <c r="D8"/>
      <c r="E8" s="15"/>
      <c r="F8"/>
      <c r="H8"/>
      <c r="I8"/>
      <c r="J8"/>
      <c r="K8"/>
      <c r="L8" s="20"/>
      <c r="M8"/>
      <c r="N8"/>
    </row>
    <row r="9" spans="1:16" ht="49.9" customHeight="1" x14ac:dyDescent="0.2">
      <c r="A9" s="20"/>
      <c r="C9" s="24" t="s">
        <v>7</v>
      </c>
      <c r="D9" s="10" t="s">
        <v>8</v>
      </c>
      <c r="E9" s="10"/>
      <c r="F9" s="24" t="s">
        <v>9</v>
      </c>
      <c r="G9" s="24" t="s">
        <v>10</v>
      </c>
      <c r="H9" s="24" t="s">
        <v>11</v>
      </c>
      <c r="I9" s="24" t="s">
        <v>12</v>
      </c>
      <c r="J9" s="24" t="s">
        <v>13</v>
      </c>
      <c r="K9" s="25"/>
      <c r="L9" s="26"/>
      <c r="M9"/>
      <c r="N9"/>
    </row>
    <row r="10" spans="1:16" ht="18.95" customHeight="1" x14ac:dyDescent="0.2">
      <c r="A10" s="20"/>
      <c r="C10" s="27">
        <f>3000000/100000</f>
        <v>30</v>
      </c>
      <c r="D10" s="9">
        <f>1200/100000</f>
        <v>1.2E-2</v>
      </c>
      <c r="E10" s="9"/>
      <c r="F10" s="27">
        <v>61</v>
      </c>
      <c r="G10" s="27">
        <v>30</v>
      </c>
      <c r="H10" s="27" t="s">
        <v>14</v>
      </c>
      <c r="I10" s="27" t="s">
        <v>15</v>
      </c>
      <c r="J10" s="28">
        <v>0.09</v>
      </c>
      <c r="K10" s="29"/>
      <c r="L10" s="26"/>
      <c r="M10"/>
      <c r="N10"/>
    </row>
    <row r="11" spans="1:16" ht="15.75" x14ac:dyDescent="0.25">
      <c r="A11" s="20"/>
      <c r="C11"/>
      <c r="D11"/>
      <c r="E11" s="30"/>
      <c r="F11"/>
      <c r="H11" s="27" t="s">
        <v>16</v>
      </c>
      <c r="I11" s="27" t="s">
        <v>17</v>
      </c>
      <c r="J11" s="28">
        <v>0.03</v>
      </c>
      <c r="K11"/>
      <c r="L11" s="26"/>
      <c r="M11"/>
      <c r="N11"/>
    </row>
    <row r="12" spans="1:16" ht="33" customHeight="1" x14ac:dyDescent="0.2">
      <c r="A12" s="20"/>
      <c r="C12" s="10" t="s">
        <v>18</v>
      </c>
      <c r="D12" s="10"/>
      <c r="E12" s="10"/>
      <c r="F12" s="24" t="s">
        <v>19</v>
      </c>
      <c r="G12" s="24" t="s">
        <v>20</v>
      </c>
      <c r="H12" s="24" t="s">
        <v>21</v>
      </c>
      <c r="I12" s="27" t="s">
        <v>22</v>
      </c>
      <c r="J12" s="28">
        <v>0.02</v>
      </c>
      <c r="K12" s="25"/>
      <c r="L12" s="26"/>
      <c r="M12"/>
      <c r="N12"/>
    </row>
    <row r="13" spans="1:16" ht="18.95" customHeight="1" x14ac:dyDescent="0.3">
      <c r="A13" s="20"/>
      <c r="C13" s="24" t="s">
        <v>23</v>
      </c>
      <c r="D13" s="24" t="s">
        <v>24</v>
      </c>
      <c r="E13" s="24" t="s">
        <v>13</v>
      </c>
      <c r="F13" s="31" t="s">
        <v>25</v>
      </c>
      <c r="G13" s="31" t="s">
        <v>26</v>
      </c>
      <c r="H13" s="31" t="s">
        <v>27</v>
      </c>
      <c r="I13" s="27" t="s">
        <v>28</v>
      </c>
      <c r="J13" s="28">
        <v>0.02</v>
      </c>
      <c r="K13" s="25"/>
      <c r="L13" s="26"/>
      <c r="M13" s="32"/>
      <c r="N13"/>
    </row>
    <row r="14" spans="1:16" ht="16.5" x14ac:dyDescent="0.3">
      <c r="A14" s="20"/>
      <c r="C14" s="33" t="s">
        <v>29</v>
      </c>
      <c r="D14" s="33">
        <v>0</v>
      </c>
      <c r="E14" s="34">
        <v>0</v>
      </c>
      <c r="F14" s="31" t="s">
        <v>30</v>
      </c>
      <c r="G14" s="31" t="s">
        <v>31</v>
      </c>
      <c r="H14" s="31" t="s">
        <v>32</v>
      </c>
      <c r="I14" s="27" t="s">
        <v>33</v>
      </c>
      <c r="J14" s="28">
        <v>0.1</v>
      </c>
      <c r="K14" s="35"/>
      <c r="L14" s="26"/>
      <c r="M14"/>
      <c r="N14"/>
    </row>
    <row r="15" spans="1:16" ht="24" customHeight="1" x14ac:dyDescent="0.3">
      <c r="A15" s="20"/>
      <c r="C15" s="33" t="s">
        <v>34</v>
      </c>
      <c r="D15" s="33">
        <v>1</v>
      </c>
      <c r="E15" s="34">
        <v>0</v>
      </c>
      <c r="F15"/>
      <c r="G15" s="31" t="s">
        <v>35</v>
      </c>
      <c r="H15" s="31" t="s">
        <v>36</v>
      </c>
      <c r="I15"/>
      <c r="J15"/>
      <c r="K15" s="35"/>
      <c r="L15" s="26"/>
      <c r="M15"/>
      <c r="N15"/>
    </row>
    <row r="16" spans="1:16" ht="16.5" x14ac:dyDescent="0.3">
      <c r="A16" s="20"/>
      <c r="C16" s="33" t="s">
        <v>37</v>
      </c>
      <c r="D16" s="33">
        <v>2</v>
      </c>
      <c r="E16" s="34">
        <v>0</v>
      </c>
      <c r="F16"/>
      <c r="G16" s="31" t="s">
        <v>38</v>
      </c>
      <c r="H16" s="31" t="s">
        <v>39</v>
      </c>
      <c r="I16"/>
      <c r="J16"/>
      <c r="K16" s="35"/>
      <c r="L16" s="26"/>
      <c r="M16"/>
      <c r="N16"/>
    </row>
    <row r="17" spans="1:14" ht="18.95" customHeight="1" x14ac:dyDescent="0.25">
      <c r="A17" s="20"/>
      <c r="C17" s="33" t="s">
        <v>40</v>
      </c>
      <c r="D17" s="33">
        <v>3</v>
      </c>
      <c r="E17" s="36">
        <v>0.12</v>
      </c>
      <c r="F17"/>
      <c r="H17"/>
      <c r="I17"/>
      <c r="J17"/>
      <c r="K17" s="35"/>
      <c r="L17" s="26"/>
      <c r="M17"/>
      <c r="N17"/>
    </row>
    <row r="18" spans="1:14" ht="18.95" customHeight="1" x14ac:dyDescent="0.25">
      <c r="A18" s="20"/>
      <c r="C18" s="33" t="s">
        <v>41</v>
      </c>
      <c r="D18" s="33">
        <v>4</v>
      </c>
      <c r="E18" s="36">
        <v>0.14000000000000001</v>
      </c>
      <c r="F18"/>
      <c r="G18" s="10" t="s">
        <v>42</v>
      </c>
      <c r="H18" s="10"/>
      <c r="I18"/>
      <c r="J18"/>
      <c r="K18"/>
      <c r="L18" s="26"/>
      <c r="M18"/>
      <c r="N18"/>
    </row>
    <row r="19" spans="1:14" ht="18.95" customHeight="1" x14ac:dyDescent="0.25">
      <c r="A19" s="20"/>
      <c r="C19" s="33" t="s">
        <v>43</v>
      </c>
      <c r="D19" s="33">
        <v>5</v>
      </c>
      <c r="E19" s="36">
        <v>0.16</v>
      </c>
      <c r="F19"/>
      <c r="G19" s="24" t="s">
        <v>44</v>
      </c>
      <c r="H19" s="24" t="s">
        <v>45</v>
      </c>
      <c r="I19"/>
      <c r="J19"/>
      <c r="K19" s="25"/>
      <c r="L19" s="26"/>
      <c r="M19"/>
      <c r="N19"/>
    </row>
    <row r="20" spans="1:14" ht="18.95" customHeight="1" x14ac:dyDescent="0.3">
      <c r="A20" s="20"/>
      <c r="C20" s="33" t="s">
        <v>46</v>
      </c>
      <c r="D20" s="33">
        <v>6</v>
      </c>
      <c r="E20" s="36">
        <v>0.18</v>
      </c>
      <c r="F20"/>
      <c r="G20" s="37">
        <v>0</v>
      </c>
      <c r="H20" s="37">
        <v>0</v>
      </c>
      <c r="I20"/>
      <c r="J20"/>
      <c r="K20" s="38"/>
      <c r="L20" s="26"/>
      <c r="M20" s="39"/>
      <c r="N20" s="40"/>
    </row>
    <row r="21" spans="1:14" ht="18.95" customHeight="1" x14ac:dyDescent="0.3">
      <c r="A21" s="20"/>
      <c r="C21" s="33" t="s">
        <v>47</v>
      </c>
      <c r="D21" s="33">
        <v>7</v>
      </c>
      <c r="E21" s="36">
        <v>0.2</v>
      </c>
      <c r="F21"/>
      <c r="G21" s="37">
        <v>1</v>
      </c>
      <c r="H21" s="37">
        <v>5</v>
      </c>
      <c r="I21"/>
      <c r="J21"/>
      <c r="K21" s="38"/>
      <c r="L21" s="26"/>
      <c r="M21" s="39"/>
    </row>
    <row r="22" spans="1:14" ht="18.95" customHeight="1" x14ac:dyDescent="0.3">
      <c r="A22" s="20"/>
      <c r="C22" s="33" t="s">
        <v>48</v>
      </c>
      <c r="D22" s="33">
        <v>8</v>
      </c>
      <c r="E22" s="36">
        <v>0.2</v>
      </c>
      <c r="F22"/>
      <c r="G22" s="37">
        <v>31</v>
      </c>
      <c r="H22" s="37">
        <v>10</v>
      </c>
      <c r="I22"/>
      <c r="J22"/>
      <c r="K22" s="38"/>
      <c r="L22" s="26"/>
      <c r="M22" s="39"/>
    </row>
    <row r="23" spans="1:14" ht="18.95" customHeight="1" x14ac:dyDescent="0.3">
      <c r="A23" s="20"/>
      <c r="C23"/>
      <c r="D23"/>
      <c r="E23"/>
      <c r="F23"/>
      <c r="G23" s="37">
        <v>61</v>
      </c>
      <c r="H23" s="37">
        <v>15</v>
      </c>
      <c r="I23" s="41"/>
      <c r="J23" s="41"/>
      <c r="K23" s="38"/>
      <c r="L23" s="20"/>
      <c r="M23" s="39"/>
    </row>
    <row r="24" spans="1:14" ht="18.95" customHeight="1" x14ac:dyDescent="0.3">
      <c r="A24" s="20"/>
      <c r="C24"/>
      <c r="D24"/>
      <c r="E24"/>
      <c r="F24"/>
      <c r="H24"/>
      <c r="I24" s="41"/>
      <c r="J24"/>
      <c r="K24" s="38"/>
      <c r="L24" s="26"/>
      <c r="M24" s="39"/>
    </row>
    <row r="25" spans="1:14" ht="23.25" customHeight="1" x14ac:dyDescent="0.3">
      <c r="A25" s="20"/>
      <c r="C25" s="24" t="s">
        <v>49</v>
      </c>
      <c r="D25" s="24" t="s">
        <v>50</v>
      </c>
      <c r="E25" s="24" t="s">
        <v>51</v>
      </c>
      <c r="F25"/>
      <c r="G25" s="10" t="s">
        <v>52</v>
      </c>
      <c r="H25" s="10"/>
      <c r="I25" s="10"/>
      <c r="J25"/>
      <c r="K25" s="38"/>
      <c r="L25" s="26"/>
      <c r="M25" s="39"/>
    </row>
    <row r="26" spans="1:14" ht="18.95" customHeight="1" x14ac:dyDescent="0.3">
      <c r="A26" s="20"/>
      <c r="C26" s="42" t="s">
        <v>53</v>
      </c>
      <c r="D26" s="42">
        <v>5</v>
      </c>
      <c r="E26" s="43">
        <f>DATE(2018, 1 + 1, 0)</f>
        <v>43131</v>
      </c>
      <c r="F26"/>
      <c r="G26" s="24" t="s">
        <v>54</v>
      </c>
      <c r="H26" s="24" t="s">
        <v>55</v>
      </c>
      <c r="I26" s="24" t="s">
        <v>56</v>
      </c>
      <c r="J26"/>
      <c r="K26" s="38"/>
      <c r="L26" s="26"/>
      <c r="M26" s="39"/>
    </row>
    <row r="27" spans="1:14" ht="18.95" customHeight="1" x14ac:dyDescent="0.3">
      <c r="A27" s="20"/>
      <c r="C27" s="42" t="s">
        <v>57</v>
      </c>
      <c r="D27" s="42">
        <v>4</v>
      </c>
      <c r="E27" s="43">
        <f>DATE(2018, 2 + 1, 0)</f>
        <v>43159</v>
      </c>
      <c r="F27"/>
      <c r="G27" s="31">
        <v>0</v>
      </c>
      <c r="H27" s="31">
        <v>0</v>
      </c>
      <c r="I27" s="31">
        <v>1</v>
      </c>
      <c r="J27"/>
      <c r="K27" s="38"/>
      <c r="L27" s="26"/>
      <c r="M27" s="39"/>
    </row>
    <row r="28" spans="1:14" ht="18.95" customHeight="1" x14ac:dyDescent="0.3">
      <c r="A28" s="20"/>
      <c r="C28" s="42" t="s">
        <v>58</v>
      </c>
      <c r="D28" s="42">
        <v>4</v>
      </c>
      <c r="E28" s="43">
        <f>DATE(2018, 3+ 1, 0)</f>
        <v>43190</v>
      </c>
      <c r="F28"/>
      <c r="G28" s="31">
        <v>721</v>
      </c>
      <c r="H28" s="31">
        <v>2</v>
      </c>
      <c r="I28" s="31">
        <v>2</v>
      </c>
      <c r="J28"/>
      <c r="K28" s="38"/>
      <c r="L28" s="26"/>
      <c r="M28" s="39"/>
    </row>
    <row r="29" spans="1:14" ht="18.95" customHeight="1" x14ac:dyDescent="0.3">
      <c r="A29" s="20"/>
      <c r="C29" s="42" t="s">
        <v>59</v>
      </c>
      <c r="D29" s="42">
        <v>5</v>
      </c>
      <c r="E29" s="43">
        <f>DATE(2018, 4+ 1, 0)</f>
        <v>43220</v>
      </c>
      <c r="F29"/>
      <c r="G29" s="31">
        <f t="shared" ref="G29:G42" si="0">G28+360</f>
        <v>1081</v>
      </c>
      <c r="H29" s="31">
        <v>4</v>
      </c>
      <c r="I29" s="31">
        <v>3</v>
      </c>
      <c r="J29"/>
      <c r="K29" s="38"/>
      <c r="L29" s="26"/>
      <c r="M29" s="39"/>
    </row>
    <row r="30" spans="1:14" ht="18.95" customHeight="1" x14ac:dyDescent="0.3">
      <c r="A30" s="20"/>
      <c r="C30" s="42" t="s">
        <v>60</v>
      </c>
      <c r="D30" s="42">
        <v>4</v>
      </c>
      <c r="E30" s="43">
        <f>DATE(2018, 5 + 1, 0)</f>
        <v>43251</v>
      </c>
      <c r="F30"/>
      <c r="G30" s="31">
        <f t="shared" si="0"/>
        <v>1441</v>
      </c>
      <c r="H30" s="31">
        <v>6</v>
      </c>
      <c r="I30" s="31">
        <v>4</v>
      </c>
      <c r="J30"/>
      <c r="K30" s="38"/>
      <c r="L30" s="26"/>
      <c r="M30" s="39"/>
    </row>
    <row r="31" spans="1:14" ht="18.95" customHeight="1" x14ac:dyDescent="0.3">
      <c r="A31" s="20"/>
      <c r="C31" s="42" t="s">
        <v>61</v>
      </c>
      <c r="D31" s="42">
        <v>4</v>
      </c>
      <c r="E31" s="43">
        <f>DATE(2018, 6 + 1, 0)</f>
        <v>43281</v>
      </c>
      <c r="F31"/>
      <c r="G31" s="31">
        <f t="shared" si="0"/>
        <v>1801</v>
      </c>
      <c r="H31" s="31">
        <v>8</v>
      </c>
      <c r="I31" s="31">
        <v>5</v>
      </c>
      <c r="J31"/>
      <c r="K31" s="38"/>
      <c r="L31" s="26"/>
      <c r="M31" s="39"/>
    </row>
    <row r="32" spans="1:14" ht="18.95" customHeight="1" x14ac:dyDescent="0.3">
      <c r="A32" s="20"/>
      <c r="C32" s="42" t="s">
        <v>62</v>
      </c>
      <c r="D32" s="42">
        <v>5</v>
      </c>
      <c r="E32" s="43">
        <f>DATE(2018, 7+ 1, 0)</f>
        <v>43312</v>
      </c>
      <c r="F32"/>
      <c r="G32" s="31">
        <f t="shared" si="0"/>
        <v>2161</v>
      </c>
      <c r="H32" s="31">
        <v>10</v>
      </c>
      <c r="I32" s="31">
        <v>6</v>
      </c>
      <c r="J32"/>
      <c r="L32" s="26"/>
    </row>
    <row r="33" spans="1:12" ht="18.95" customHeight="1" x14ac:dyDescent="0.3">
      <c r="A33" s="20"/>
      <c r="C33" s="42" t="s">
        <v>63</v>
      </c>
      <c r="D33" s="42">
        <v>4</v>
      </c>
      <c r="E33" s="43">
        <f>DATE(2018, 8 + 1, 0)</f>
        <v>43343</v>
      </c>
      <c r="F33"/>
      <c r="G33" s="31">
        <f t="shared" si="0"/>
        <v>2521</v>
      </c>
      <c r="H33" s="31">
        <v>12</v>
      </c>
      <c r="I33" s="31">
        <v>7</v>
      </c>
      <c r="J33"/>
      <c r="L33" s="26"/>
    </row>
    <row r="34" spans="1:12" ht="33" customHeight="1" x14ac:dyDescent="0.3">
      <c r="A34" s="20"/>
      <c r="C34" s="42" t="s">
        <v>5</v>
      </c>
      <c r="D34" s="42">
        <v>4</v>
      </c>
      <c r="E34" s="43">
        <f>DATE(2018, 9 + 1, 0)</f>
        <v>43373</v>
      </c>
      <c r="F34"/>
      <c r="G34" s="31">
        <f t="shared" si="0"/>
        <v>2881</v>
      </c>
      <c r="H34" s="31">
        <v>14</v>
      </c>
      <c r="I34" s="31">
        <v>8</v>
      </c>
      <c r="J34"/>
      <c r="L34" s="26"/>
    </row>
    <row r="35" spans="1:12" ht="18.95" customHeight="1" x14ac:dyDescent="0.3">
      <c r="A35" s="20"/>
      <c r="C35" s="42" t="s">
        <v>64</v>
      </c>
      <c r="D35" s="42">
        <v>5</v>
      </c>
      <c r="E35" s="43">
        <f>DATE(2018, 10+ 1, 0)</f>
        <v>43404</v>
      </c>
      <c r="F35"/>
      <c r="G35" s="31">
        <f t="shared" si="0"/>
        <v>3241</v>
      </c>
      <c r="H35" s="31">
        <v>16</v>
      </c>
      <c r="I35" s="31">
        <v>9</v>
      </c>
      <c r="J35"/>
      <c r="L35" s="26"/>
    </row>
    <row r="36" spans="1:12" ht="36" customHeight="1" x14ac:dyDescent="0.3">
      <c r="A36" s="20"/>
      <c r="C36" s="42" t="s">
        <v>65</v>
      </c>
      <c r="D36" s="42">
        <v>4</v>
      </c>
      <c r="E36" s="43">
        <f>DATE(2018, 11 + 1, 0)</f>
        <v>43434</v>
      </c>
      <c r="F36"/>
      <c r="G36" s="31">
        <f t="shared" si="0"/>
        <v>3601</v>
      </c>
      <c r="H36" s="31">
        <v>18</v>
      </c>
      <c r="I36" s="31">
        <v>10</v>
      </c>
      <c r="J36"/>
      <c r="L36" s="26"/>
    </row>
    <row r="37" spans="1:12" ht="18.95" customHeight="1" x14ac:dyDescent="0.3">
      <c r="A37" s="20"/>
      <c r="C37" s="42" t="s">
        <v>66</v>
      </c>
      <c r="D37" s="42">
        <v>5</v>
      </c>
      <c r="E37" s="43">
        <f>DATE(2018, 12 + 1, 0)</f>
        <v>43465</v>
      </c>
      <c r="F37"/>
      <c r="G37" s="31">
        <f t="shared" si="0"/>
        <v>3961</v>
      </c>
      <c r="H37" s="31">
        <v>20</v>
      </c>
      <c r="I37" s="31">
        <v>11</v>
      </c>
      <c r="J37"/>
      <c r="L37" s="26"/>
    </row>
    <row r="38" spans="1:12" ht="18.95" customHeight="1" x14ac:dyDescent="0.3">
      <c r="A38" s="20"/>
      <c r="C38"/>
      <c r="D38"/>
      <c r="E38"/>
      <c r="F38"/>
      <c r="G38" s="31">
        <f t="shared" si="0"/>
        <v>4321</v>
      </c>
      <c r="H38" s="31">
        <v>22</v>
      </c>
      <c r="I38" s="31">
        <v>12</v>
      </c>
      <c r="J38"/>
      <c r="L38" s="26"/>
    </row>
    <row r="39" spans="1:12" ht="16.5" x14ac:dyDescent="0.3">
      <c r="A39" s="20"/>
      <c r="C39" s="24" t="s">
        <v>67</v>
      </c>
      <c r="D39"/>
      <c r="E39"/>
      <c r="F39"/>
      <c r="G39" s="31">
        <f t="shared" si="0"/>
        <v>4681</v>
      </c>
      <c r="H39" s="31">
        <v>24</v>
      </c>
      <c r="I39" s="31">
        <v>13</v>
      </c>
      <c r="J39"/>
      <c r="L39" s="26"/>
    </row>
    <row r="40" spans="1:12" ht="18.75" x14ac:dyDescent="0.3">
      <c r="A40" s="20"/>
      <c r="C40" s="42">
        <v>0</v>
      </c>
      <c r="D40"/>
      <c r="E40"/>
      <c r="F40"/>
      <c r="G40" s="31">
        <f t="shared" si="0"/>
        <v>5041</v>
      </c>
      <c r="H40" s="31">
        <v>26</v>
      </c>
      <c r="I40" s="31">
        <v>14</v>
      </c>
      <c r="J40"/>
      <c r="L40" s="26"/>
    </row>
    <row r="41" spans="1:12" ht="18.75" x14ac:dyDescent="0.3">
      <c r="A41" s="20"/>
      <c r="C41" s="42">
        <v>1</v>
      </c>
      <c r="D41"/>
      <c r="E41"/>
      <c r="F41"/>
      <c r="G41" s="31">
        <f t="shared" si="0"/>
        <v>5401</v>
      </c>
      <c r="H41" s="31">
        <v>28</v>
      </c>
      <c r="I41" s="31">
        <v>15</v>
      </c>
      <c r="J41"/>
      <c r="L41" s="26"/>
    </row>
    <row r="42" spans="1:12" ht="18.75" x14ac:dyDescent="0.3">
      <c r="A42" s="20"/>
      <c r="C42" s="42">
        <v>2</v>
      </c>
      <c r="D42"/>
      <c r="E42"/>
      <c r="F42"/>
      <c r="G42" s="31">
        <f t="shared" si="0"/>
        <v>5761</v>
      </c>
      <c r="H42" s="31">
        <v>30</v>
      </c>
      <c r="I42" s="31">
        <v>16</v>
      </c>
      <c r="J42"/>
      <c r="L42" s="20"/>
    </row>
    <row r="43" spans="1:12" ht="18.75" x14ac:dyDescent="0.3">
      <c r="A43" s="20"/>
      <c r="C43" s="42">
        <v>3</v>
      </c>
      <c r="D43"/>
      <c r="E43"/>
      <c r="F43"/>
      <c r="H43"/>
      <c r="I43"/>
      <c r="J43"/>
      <c r="L43" s="20"/>
    </row>
    <row r="44" spans="1:12" ht="18.75" x14ac:dyDescent="0.3">
      <c r="A44" s="20"/>
      <c r="C44" s="42">
        <v>4</v>
      </c>
      <c r="D44"/>
      <c r="E44"/>
      <c r="F44"/>
      <c r="H44"/>
      <c r="I44"/>
      <c r="J44"/>
      <c r="L44" s="26"/>
    </row>
    <row r="45" spans="1:12" ht="17.45" customHeight="1" x14ac:dyDescent="0.3">
      <c r="A45" s="20"/>
      <c r="C45" s="42">
        <v>5</v>
      </c>
      <c r="D45"/>
      <c r="E45"/>
      <c r="F45"/>
      <c r="G45" s="10" t="s">
        <v>68</v>
      </c>
      <c r="H45" s="10"/>
      <c r="I45" s="10"/>
      <c r="J45" s="10"/>
      <c r="L45" s="26"/>
    </row>
    <row r="46" spans="1:12" ht="30" x14ac:dyDescent="0.3">
      <c r="A46" s="20"/>
      <c r="C46" s="42">
        <v>6</v>
      </c>
      <c r="D46"/>
      <c r="E46"/>
      <c r="F46"/>
      <c r="G46" s="24" t="s">
        <v>69</v>
      </c>
      <c r="H46" s="24" t="s">
        <v>70</v>
      </c>
      <c r="I46" s="24" t="s">
        <v>71</v>
      </c>
      <c r="J46" s="24" t="s">
        <v>72</v>
      </c>
      <c r="L46" s="26"/>
    </row>
    <row r="47" spans="1:12" ht="18.75" x14ac:dyDescent="0.3">
      <c r="A47" s="20"/>
      <c r="C47" s="42">
        <v>7</v>
      </c>
      <c r="D47"/>
      <c r="E47"/>
      <c r="F47"/>
      <c r="G47" s="44" t="s">
        <v>32</v>
      </c>
      <c r="H47" s="45" t="s">
        <v>73</v>
      </c>
      <c r="I47" s="46">
        <v>1</v>
      </c>
      <c r="J47" s="45">
        <v>30</v>
      </c>
      <c r="L47" s="26"/>
    </row>
    <row r="48" spans="1:12" ht="18.75" x14ac:dyDescent="0.3">
      <c r="A48" s="20"/>
      <c r="C48" s="42">
        <v>8</v>
      </c>
      <c r="D48"/>
      <c r="E48"/>
      <c r="F48"/>
      <c r="G48" s="44" t="s">
        <v>32</v>
      </c>
      <c r="H48" s="45" t="s">
        <v>74</v>
      </c>
      <c r="I48" s="46">
        <v>1</v>
      </c>
      <c r="J48" s="47">
        <v>30</v>
      </c>
      <c r="L48" s="26"/>
    </row>
    <row r="49" spans="1:12" ht="18.75" x14ac:dyDescent="0.3">
      <c r="A49" s="20"/>
      <c r="C49" s="42">
        <v>9</v>
      </c>
      <c r="D49"/>
      <c r="E49"/>
      <c r="F49"/>
      <c r="G49" s="44" t="s">
        <v>32</v>
      </c>
      <c r="H49" s="45" t="s">
        <v>75</v>
      </c>
      <c r="I49" s="46">
        <f t="shared" ref="I49:I60" si="1">J49/$J$48</f>
        <v>0.5</v>
      </c>
      <c r="J49" s="45">
        <f>J48/2</f>
        <v>15</v>
      </c>
      <c r="L49" s="26"/>
    </row>
    <row r="50" spans="1:12" ht="18.75" x14ac:dyDescent="0.3">
      <c r="A50" s="20"/>
      <c r="C50" s="42">
        <v>10</v>
      </c>
      <c r="D50"/>
      <c r="E50"/>
      <c r="F50"/>
      <c r="G50" s="44" t="s">
        <v>32</v>
      </c>
      <c r="H50" s="48" t="s">
        <v>76</v>
      </c>
      <c r="I50" s="46">
        <f t="shared" si="1"/>
        <v>0.4</v>
      </c>
      <c r="J50" s="45">
        <v>12</v>
      </c>
      <c r="L50" s="26"/>
    </row>
    <row r="51" spans="1:12" ht="18.75" x14ac:dyDescent="0.3">
      <c r="A51" s="20"/>
      <c r="C51" s="42">
        <v>11</v>
      </c>
      <c r="D51"/>
      <c r="E51"/>
      <c r="F51"/>
      <c r="G51" s="44" t="s">
        <v>32</v>
      </c>
      <c r="H51" s="48" t="s">
        <v>77</v>
      </c>
      <c r="I51" s="46">
        <f t="shared" si="1"/>
        <v>0.36666666666666664</v>
      </c>
      <c r="J51" s="45">
        <v>11</v>
      </c>
      <c r="L51" s="26"/>
    </row>
    <row r="52" spans="1:12" ht="18.75" x14ac:dyDescent="0.3">
      <c r="A52" s="20"/>
      <c r="C52" s="42">
        <v>12</v>
      </c>
      <c r="D52"/>
      <c r="E52"/>
      <c r="F52"/>
      <c r="G52" s="44" t="s">
        <v>32</v>
      </c>
      <c r="H52" s="48" t="s">
        <v>78</v>
      </c>
      <c r="I52" s="46">
        <f t="shared" si="1"/>
        <v>0.33333333333333331</v>
      </c>
      <c r="J52" s="45">
        <v>10</v>
      </c>
      <c r="L52" s="26"/>
    </row>
    <row r="53" spans="1:12" ht="19.5" customHeight="1" x14ac:dyDescent="0.3">
      <c r="A53" s="20"/>
      <c r="C53" s="42">
        <v>13</v>
      </c>
      <c r="D53"/>
      <c r="E53"/>
      <c r="F53"/>
      <c r="G53" s="44" t="s">
        <v>32</v>
      </c>
      <c r="H53" s="48" t="s">
        <v>79</v>
      </c>
      <c r="I53" s="46">
        <f t="shared" si="1"/>
        <v>0.3</v>
      </c>
      <c r="J53" s="45">
        <v>9</v>
      </c>
      <c r="L53" s="26"/>
    </row>
    <row r="54" spans="1:12" ht="18.75" x14ac:dyDescent="0.3">
      <c r="A54" s="20"/>
      <c r="C54" s="42">
        <v>14</v>
      </c>
      <c r="D54"/>
      <c r="E54"/>
      <c r="F54"/>
      <c r="G54" s="44" t="s">
        <v>32</v>
      </c>
      <c r="H54" s="48" t="s">
        <v>80</v>
      </c>
      <c r="I54" s="46">
        <f t="shared" si="1"/>
        <v>0.26666666666666666</v>
      </c>
      <c r="J54" s="45">
        <v>8</v>
      </c>
      <c r="L54" s="26"/>
    </row>
    <row r="55" spans="1:12" ht="18.75" x14ac:dyDescent="0.3">
      <c r="A55" s="20"/>
      <c r="C55" s="42">
        <v>15</v>
      </c>
      <c r="D55"/>
      <c r="E55"/>
      <c r="F55"/>
      <c r="G55" s="44" t="s">
        <v>32</v>
      </c>
      <c r="H55" s="48" t="s">
        <v>81</v>
      </c>
      <c r="I55" s="46">
        <f t="shared" si="1"/>
        <v>0.23333333333333334</v>
      </c>
      <c r="J55" s="45">
        <v>7</v>
      </c>
      <c r="L55" s="26"/>
    </row>
    <row r="56" spans="1:12" ht="18.75" x14ac:dyDescent="0.3">
      <c r="A56" s="20"/>
      <c r="C56" s="42">
        <v>16</v>
      </c>
      <c r="D56"/>
      <c r="E56"/>
      <c r="F56"/>
      <c r="G56" s="44" t="s">
        <v>32</v>
      </c>
      <c r="H56" s="48" t="s">
        <v>82</v>
      </c>
      <c r="I56" s="46">
        <f t="shared" si="1"/>
        <v>0.2</v>
      </c>
      <c r="J56" s="45">
        <v>6</v>
      </c>
      <c r="L56" s="26"/>
    </row>
    <row r="57" spans="1:12" ht="18.75" x14ac:dyDescent="0.3">
      <c r="A57" s="20"/>
      <c r="C57" s="42">
        <v>17</v>
      </c>
      <c r="D57"/>
      <c r="E57"/>
      <c r="F57"/>
      <c r="G57" s="44" t="s">
        <v>32</v>
      </c>
      <c r="H57" s="48" t="s">
        <v>83</v>
      </c>
      <c r="I57" s="46">
        <f t="shared" si="1"/>
        <v>0.16666666666666666</v>
      </c>
      <c r="J57" s="45">
        <v>5</v>
      </c>
      <c r="L57" s="26"/>
    </row>
    <row r="58" spans="1:12" ht="18.75" x14ac:dyDescent="0.3">
      <c r="A58" s="20"/>
      <c r="C58" s="42">
        <v>18</v>
      </c>
      <c r="D58"/>
      <c r="E58"/>
      <c r="F58"/>
      <c r="G58" s="44" t="s">
        <v>32</v>
      </c>
      <c r="H58" s="48" t="s">
        <v>84</v>
      </c>
      <c r="I58" s="46">
        <f t="shared" si="1"/>
        <v>0.13333333333333333</v>
      </c>
      <c r="J58" s="45">
        <v>4</v>
      </c>
      <c r="L58" s="26"/>
    </row>
    <row r="59" spans="1:12" ht="18.75" x14ac:dyDescent="0.3">
      <c r="A59" s="20"/>
      <c r="C59" s="42">
        <v>19</v>
      </c>
      <c r="D59"/>
      <c r="E59"/>
      <c r="F59"/>
      <c r="G59" s="44" t="s">
        <v>32</v>
      </c>
      <c r="H59" s="48" t="s">
        <v>85</v>
      </c>
      <c r="I59" s="46">
        <f t="shared" si="1"/>
        <v>0.1</v>
      </c>
      <c r="J59" s="45">
        <v>3</v>
      </c>
      <c r="L59" s="26"/>
    </row>
    <row r="60" spans="1:12" ht="18.75" x14ac:dyDescent="0.3">
      <c r="A60" s="20"/>
      <c r="C60" s="42">
        <v>20</v>
      </c>
      <c r="D60"/>
      <c r="E60"/>
      <c r="F60"/>
      <c r="G60" s="44" t="s">
        <v>32</v>
      </c>
      <c r="H60" s="48" t="s">
        <v>86</v>
      </c>
      <c r="I60" s="46">
        <f t="shared" si="1"/>
        <v>6.6666666666666666E-2</v>
      </c>
      <c r="J60" s="45">
        <v>2</v>
      </c>
      <c r="L60" s="26"/>
    </row>
    <row r="61" spans="1:12" ht="18.75" x14ac:dyDescent="0.3">
      <c r="A61" s="20"/>
      <c r="C61" s="42">
        <v>21</v>
      </c>
      <c r="D61"/>
      <c r="E61"/>
      <c r="F61"/>
      <c r="G61" s="44" t="s">
        <v>36</v>
      </c>
      <c r="H61" s="48" t="s">
        <v>87</v>
      </c>
      <c r="I61" s="46">
        <v>1</v>
      </c>
      <c r="J61" s="45">
        <v>1</v>
      </c>
      <c r="L61" s="26"/>
    </row>
    <row r="62" spans="1:12" ht="18.75" x14ac:dyDescent="0.3">
      <c r="A62" s="20"/>
      <c r="C62" s="42">
        <v>22</v>
      </c>
      <c r="D62"/>
      <c r="E62"/>
      <c r="F62"/>
      <c r="G62" s="44" t="s">
        <v>36</v>
      </c>
      <c r="H62" s="48" t="s">
        <v>88</v>
      </c>
      <c r="I62" s="46">
        <v>1</v>
      </c>
      <c r="J62" s="45">
        <v>1</v>
      </c>
      <c r="L62" s="26"/>
    </row>
    <row r="63" spans="1:12" ht="18.75" x14ac:dyDescent="0.3">
      <c r="A63" s="20"/>
      <c r="C63" s="42">
        <v>23</v>
      </c>
      <c r="D63"/>
      <c r="E63"/>
      <c r="F63"/>
      <c r="G63" s="44" t="s">
        <v>36</v>
      </c>
      <c r="H63" s="48" t="s">
        <v>89</v>
      </c>
      <c r="I63" s="46">
        <v>1</v>
      </c>
      <c r="J63" s="45">
        <v>1</v>
      </c>
      <c r="L63" s="26"/>
    </row>
    <row r="64" spans="1:12" ht="18.75" x14ac:dyDescent="0.3">
      <c r="A64" s="20"/>
      <c r="C64" s="42">
        <v>24</v>
      </c>
      <c r="D64"/>
      <c r="E64"/>
      <c r="F64"/>
      <c r="G64" s="44" t="s">
        <v>36</v>
      </c>
      <c r="H64" s="48">
        <v>205</v>
      </c>
      <c r="I64" s="46">
        <v>1</v>
      </c>
      <c r="J64" s="45">
        <v>1</v>
      </c>
      <c r="L64" s="26"/>
    </row>
    <row r="65" spans="1:12" ht="18.75" x14ac:dyDescent="0.3">
      <c r="A65" s="20"/>
      <c r="C65" s="42">
        <v>25</v>
      </c>
      <c r="D65"/>
      <c r="E65"/>
      <c r="F65"/>
      <c r="G65" s="44" t="s">
        <v>36</v>
      </c>
      <c r="H65" s="48">
        <v>206</v>
      </c>
      <c r="I65" s="46">
        <v>1</v>
      </c>
      <c r="J65" s="45">
        <v>1</v>
      </c>
      <c r="L65" s="26"/>
    </row>
    <row r="66" spans="1:12" ht="18.75" x14ac:dyDescent="0.3">
      <c r="A66" s="20"/>
      <c r="C66" s="42">
        <v>26</v>
      </c>
      <c r="D66"/>
      <c r="E66"/>
      <c r="F66"/>
      <c r="G66" s="44" t="s">
        <v>36</v>
      </c>
      <c r="H66" s="48" t="s">
        <v>90</v>
      </c>
      <c r="I66" s="46">
        <v>1</v>
      </c>
      <c r="J66" s="45">
        <v>1</v>
      </c>
      <c r="L66" s="26"/>
    </row>
    <row r="67" spans="1:12" ht="18.75" x14ac:dyDescent="0.3">
      <c r="A67" s="20"/>
      <c r="C67" s="42">
        <v>27</v>
      </c>
      <c r="D67"/>
      <c r="E67"/>
      <c r="F67"/>
      <c r="G67" s="44" t="s">
        <v>36</v>
      </c>
      <c r="H67" s="48" t="s">
        <v>91</v>
      </c>
      <c r="I67" s="46">
        <v>1</v>
      </c>
      <c r="J67" s="45">
        <v>1</v>
      </c>
      <c r="L67" s="26"/>
    </row>
    <row r="68" spans="1:12" ht="18.75" x14ac:dyDescent="0.3">
      <c r="A68" s="20"/>
      <c r="C68" s="42">
        <v>28</v>
      </c>
      <c r="D68"/>
      <c r="E68"/>
      <c r="F68"/>
      <c r="G68" s="44" t="s">
        <v>36</v>
      </c>
      <c r="H68" s="48">
        <v>304</v>
      </c>
      <c r="I68" s="46">
        <v>1</v>
      </c>
      <c r="J68" s="45">
        <v>1</v>
      </c>
      <c r="L68" s="26"/>
    </row>
    <row r="69" spans="1:12" ht="18.75" x14ac:dyDescent="0.3">
      <c r="A69" s="20"/>
      <c r="C69" s="42">
        <v>29</v>
      </c>
      <c r="D69"/>
      <c r="E69"/>
      <c r="F69"/>
      <c r="G69" s="44" t="s">
        <v>36</v>
      </c>
      <c r="H69" s="48">
        <v>305</v>
      </c>
      <c r="I69" s="46">
        <v>1</v>
      </c>
      <c r="J69" s="45">
        <v>1</v>
      </c>
      <c r="L69" s="26"/>
    </row>
    <row r="70" spans="1:12" ht="18.75" x14ac:dyDescent="0.3">
      <c r="A70" s="20"/>
      <c r="C70" s="42">
        <v>30</v>
      </c>
      <c r="D70"/>
      <c r="E70"/>
      <c r="F70"/>
      <c r="G70" s="44" t="s">
        <v>36</v>
      </c>
      <c r="H70" s="48">
        <v>306</v>
      </c>
      <c r="I70" s="46">
        <v>1</v>
      </c>
      <c r="J70" s="45">
        <v>1</v>
      </c>
      <c r="L70" s="26"/>
    </row>
    <row r="71" spans="1:12" ht="18.75" x14ac:dyDescent="0.3">
      <c r="A71" s="20"/>
      <c r="C71" s="42">
        <v>31</v>
      </c>
      <c r="D71"/>
      <c r="E71"/>
      <c r="F71"/>
      <c r="G71" s="44" t="s">
        <v>36</v>
      </c>
      <c r="H71" s="48" t="s">
        <v>92</v>
      </c>
      <c r="I71" s="46">
        <v>1</v>
      </c>
      <c r="J71" s="45">
        <v>1</v>
      </c>
      <c r="L71" s="26"/>
    </row>
    <row r="72" spans="1:12" ht="18.75" x14ac:dyDescent="0.3">
      <c r="A72" s="20"/>
      <c r="C72" s="42">
        <v>32</v>
      </c>
      <c r="D72"/>
      <c r="E72"/>
      <c r="F72"/>
      <c r="G72" s="44" t="s">
        <v>36</v>
      </c>
      <c r="H72" s="48" t="s">
        <v>93</v>
      </c>
      <c r="I72" s="46">
        <v>1</v>
      </c>
      <c r="J72" s="45">
        <v>1</v>
      </c>
      <c r="L72" s="26"/>
    </row>
    <row r="73" spans="1:12" ht="15" customHeight="1" x14ac:dyDescent="0.3">
      <c r="A73" s="20"/>
      <c r="C73" s="42">
        <v>33</v>
      </c>
      <c r="D73"/>
      <c r="E73"/>
      <c r="F73"/>
      <c r="G73" s="44" t="s">
        <v>36</v>
      </c>
      <c r="H73" s="48" t="s">
        <v>94</v>
      </c>
      <c r="I73" s="46">
        <v>1</v>
      </c>
      <c r="J73" s="45">
        <v>1</v>
      </c>
      <c r="L73" s="26"/>
    </row>
    <row r="74" spans="1:12" ht="18.75" x14ac:dyDescent="0.3">
      <c r="A74" s="20"/>
      <c r="C74" s="42">
        <v>34</v>
      </c>
      <c r="D74"/>
      <c r="E74"/>
      <c r="F74"/>
      <c r="G74" s="44" t="s">
        <v>36</v>
      </c>
      <c r="H74" s="48" t="s">
        <v>95</v>
      </c>
      <c r="I74" s="46">
        <v>1</v>
      </c>
      <c r="J74" s="45">
        <v>1</v>
      </c>
      <c r="L74" s="26"/>
    </row>
    <row r="75" spans="1:12" ht="15" customHeight="1" x14ac:dyDescent="0.3">
      <c r="A75" s="20"/>
      <c r="C75" s="42">
        <v>35</v>
      </c>
      <c r="D75"/>
      <c r="E75"/>
      <c r="F75"/>
      <c r="G75" s="44" t="s">
        <v>36</v>
      </c>
      <c r="H75" s="48">
        <v>409</v>
      </c>
      <c r="I75" s="46">
        <v>1</v>
      </c>
      <c r="J75" s="45">
        <v>1</v>
      </c>
      <c r="L75" s="26"/>
    </row>
    <row r="76" spans="1:12" ht="17.25" x14ac:dyDescent="0.3">
      <c r="A76" s="20"/>
      <c r="C76"/>
      <c r="D76"/>
      <c r="E76"/>
      <c r="F76"/>
      <c r="G76" s="44" t="s">
        <v>39</v>
      </c>
      <c r="H76" s="48" t="s">
        <v>96</v>
      </c>
      <c r="I76" s="46">
        <v>1</v>
      </c>
      <c r="J76" s="45">
        <v>1</v>
      </c>
      <c r="L76" s="26"/>
    </row>
    <row r="77" spans="1:12" ht="17.25" x14ac:dyDescent="0.3">
      <c r="A77" s="20"/>
      <c r="C77"/>
      <c r="D77"/>
      <c r="E77"/>
      <c r="F77"/>
      <c r="G77" s="44" t="s">
        <v>39</v>
      </c>
      <c r="H77" s="48">
        <v>4</v>
      </c>
      <c r="I77" s="46">
        <v>1</v>
      </c>
      <c r="J77" s="45">
        <v>1</v>
      </c>
      <c r="L77" s="26"/>
    </row>
    <row r="78" spans="1:12" ht="17.25" x14ac:dyDescent="0.3">
      <c r="A78" s="20"/>
      <c r="C78"/>
      <c r="D78"/>
      <c r="E78"/>
      <c r="F78"/>
      <c r="G78" s="44" t="s">
        <v>39</v>
      </c>
      <c r="H78" s="48">
        <v>5</v>
      </c>
      <c r="I78" s="46">
        <v>1</v>
      </c>
      <c r="J78" s="45">
        <v>1</v>
      </c>
      <c r="L78" s="26"/>
    </row>
    <row r="79" spans="1:12" ht="17.25" x14ac:dyDescent="0.3">
      <c r="A79" s="20"/>
      <c r="C79"/>
      <c r="D79"/>
      <c r="E79"/>
      <c r="F79"/>
      <c r="G79" s="44" t="s">
        <v>39</v>
      </c>
      <c r="H79" s="48">
        <v>6</v>
      </c>
      <c r="I79" s="46">
        <v>1</v>
      </c>
      <c r="J79" s="45">
        <v>1</v>
      </c>
      <c r="L79" s="26"/>
    </row>
    <row r="80" spans="1:12" ht="17.25" x14ac:dyDescent="0.3">
      <c r="A80" s="20"/>
      <c r="C80"/>
      <c r="D80"/>
      <c r="E80"/>
      <c r="F80"/>
      <c r="G80" s="44" t="s">
        <v>39</v>
      </c>
      <c r="H80" s="48">
        <v>7</v>
      </c>
      <c r="I80" s="46">
        <v>1</v>
      </c>
      <c r="J80" s="45">
        <v>1</v>
      </c>
      <c r="L80" s="26"/>
    </row>
    <row r="81" spans="1:12" x14ac:dyDescent="0.2">
      <c r="A81" s="20"/>
      <c r="C81"/>
      <c r="D81"/>
      <c r="E81"/>
      <c r="F81"/>
      <c r="G81"/>
      <c r="H81"/>
      <c r="I81"/>
      <c r="J81"/>
      <c r="L81" s="26"/>
    </row>
    <row r="82" spans="1:12" x14ac:dyDescent="0.2">
      <c r="A82" s="20"/>
      <c r="C82"/>
      <c r="D82"/>
      <c r="E82"/>
      <c r="F82"/>
      <c r="G82"/>
      <c r="H82"/>
      <c r="I82"/>
      <c r="J82"/>
      <c r="L82" s="26"/>
    </row>
    <row r="83" spans="1:12" x14ac:dyDescent="0.2">
      <c r="A83" s="20"/>
      <c r="C83"/>
      <c r="D83"/>
      <c r="E83"/>
      <c r="F83"/>
      <c r="G83"/>
      <c r="H83"/>
      <c r="I83"/>
      <c r="J83"/>
      <c r="L83" s="26"/>
    </row>
    <row r="84" spans="1:12" x14ac:dyDescent="0.2">
      <c r="A84" s="20"/>
      <c r="C84"/>
      <c r="D84"/>
      <c r="E84"/>
      <c r="F84"/>
      <c r="H84"/>
      <c r="I84"/>
      <c r="J84"/>
      <c r="L84" s="26"/>
    </row>
    <row r="85" spans="1:12" x14ac:dyDescent="0.2">
      <c r="A85" s="20"/>
      <c r="C85"/>
      <c r="D85"/>
      <c r="E85"/>
      <c r="F85"/>
      <c r="H85"/>
      <c r="I85"/>
      <c r="J85"/>
      <c r="L85" s="26"/>
    </row>
    <row r="86" spans="1:12" x14ac:dyDescent="0.2">
      <c r="A86" s="20"/>
      <c r="C86"/>
      <c r="D86"/>
      <c r="E86"/>
      <c r="F86"/>
      <c r="H86"/>
      <c r="I86"/>
      <c r="J86"/>
      <c r="L86" s="26"/>
    </row>
    <row r="87" spans="1:12" x14ac:dyDescent="0.2">
      <c r="A87" s="20"/>
      <c r="C87"/>
      <c r="D87"/>
      <c r="E87"/>
      <c r="F87"/>
      <c r="H87"/>
      <c r="I87"/>
      <c r="J87"/>
      <c r="L87" s="26"/>
    </row>
    <row r="88" spans="1:12" x14ac:dyDescent="0.2">
      <c r="A88" s="20"/>
      <c r="C88"/>
      <c r="D88"/>
      <c r="E88"/>
      <c r="F88"/>
      <c r="H88"/>
      <c r="I88"/>
      <c r="J88"/>
      <c r="L88" s="26"/>
    </row>
    <row r="89" spans="1:12" x14ac:dyDescent="0.2">
      <c r="A89" s="20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</sheetData>
  <mergeCells count="10">
    <mergeCell ref="D10:E10"/>
    <mergeCell ref="C12:E12"/>
    <mergeCell ref="G18:H18"/>
    <mergeCell ref="G25:I25"/>
    <mergeCell ref="G45:J45"/>
    <mergeCell ref="D2:E2"/>
    <mergeCell ref="D3:E3"/>
    <mergeCell ref="D4:E4"/>
    <mergeCell ref="C6:I6"/>
    <mergeCell ref="D9:E9"/>
  </mergeCells>
  <dataValidations count="1">
    <dataValidation type="list" operator="equal" showErrorMessage="1" errorTitle="Jow" error="No es posible este campo " sqref="D4">
      <formula1>$C$26:$C$37</formula1>
      <formula2>0</formula2>
    </dataValidation>
  </dataValidations>
  <pageMargins left="0.359722222222222" right="0.42013888888888901" top="0.45972222222222198" bottom="0.49027777777777798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ALD16"/>
  <sheetViews>
    <sheetView showGridLines="0" topLeftCell="Z1" zoomScale="60" zoomScaleNormal="60" workbookViewId="0">
      <selection activeCell="AH6" sqref="AH6"/>
    </sheetView>
  </sheetViews>
  <sheetFormatPr baseColWidth="10" defaultColWidth="9.140625" defaultRowHeight="12.75" x14ac:dyDescent="0.2"/>
  <cols>
    <col min="1" max="1" width="9.140625" style="53" customWidth="1"/>
    <col min="2" max="2" width="23.7109375" style="53" customWidth="1"/>
    <col min="3" max="3" width="33.42578125" style="53" customWidth="1"/>
    <col min="4" max="4" width="29.28515625" style="53" customWidth="1"/>
    <col min="5" max="5" width="25.42578125" style="53" customWidth="1"/>
    <col min="6" max="6" width="21.28515625" style="53" customWidth="1"/>
    <col min="7" max="7" width="27.140625" style="53" customWidth="1"/>
    <col min="8" max="8" width="30.7109375" style="54" customWidth="1"/>
    <col min="9" max="9" width="36.28515625" style="54" customWidth="1"/>
    <col min="10" max="10" width="27.28515625" style="54" customWidth="1"/>
    <col min="11" max="11" width="25.42578125" style="54" customWidth="1"/>
    <col min="12" max="12" width="28" style="54" customWidth="1"/>
    <col min="13" max="13" width="23.5703125" style="54" customWidth="1"/>
    <col min="14" max="14" width="20.85546875" style="54" customWidth="1"/>
    <col min="15" max="15" width="24.85546875" style="54" customWidth="1"/>
    <col min="16" max="16" width="23.5703125" style="54" customWidth="1"/>
    <col min="17" max="17" width="25.140625" style="54" customWidth="1"/>
    <col min="18" max="24" width="21.5703125" style="54" customWidth="1"/>
    <col min="25" max="25" width="32" style="54" customWidth="1"/>
    <col min="26" max="26" width="27.42578125" style="54" customWidth="1"/>
    <col min="27" max="27" width="22.140625" style="55" customWidth="1"/>
    <col min="28" max="28" width="23.5703125" style="55" customWidth="1"/>
    <col min="29" max="29" width="22.140625" style="55" customWidth="1"/>
    <col min="30" max="30" width="23.28515625" style="55" customWidth="1"/>
    <col min="31" max="31" width="24" style="55" customWidth="1"/>
    <col min="32" max="32" width="21.42578125" style="55" customWidth="1"/>
    <col min="33" max="33" width="23.85546875" style="55" customWidth="1"/>
    <col min="34" max="35" width="22" style="55" customWidth="1"/>
    <col min="36" max="36" width="19.85546875" style="55" customWidth="1"/>
    <col min="37" max="37" width="21.28515625" style="55" customWidth="1"/>
    <col min="38" max="38" width="25.42578125" style="55" customWidth="1"/>
    <col min="39" max="39" width="26" style="55" customWidth="1"/>
    <col min="40" max="40" width="20.85546875" style="55" customWidth="1"/>
    <col min="41" max="41" width="21" style="55" customWidth="1"/>
    <col min="42" max="42" width="22.140625" style="55" customWidth="1"/>
    <col min="43" max="43" width="22.7109375" style="55" customWidth="1"/>
    <col min="44" max="44" width="23.7109375" style="55" customWidth="1"/>
    <col min="45" max="45" width="24.85546875" style="54" customWidth="1"/>
    <col min="46" max="51" width="20.85546875" style="54" customWidth="1"/>
    <col min="52" max="61" width="18.42578125" style="54" customWidth="1"/>
    <col min="62" max="992" width="9.140625" style="54" customWidth="1"/>
    <col min="993" max="1025" width="9.140625" customWidth="1"/>
  </cols>
  <sheetData>
    <row r="1" spans="1:61" ht="36.950000000000003" customHeight="1" x14ac:dyDescent="0.2">
      <c r="A1" s="5" t="s">
        <v>388</v>
      </c>
      <c r="B1" s="5"/>
      <c r="C1" s="5"/>
      <c r="D1" s="5"/>
      <c r="E1" s="5"/>
      <c r="F1" s="56"/>
      <c r="G1" s="4" t="s">
        <v>51</v>
      </c>
      <c r="H1" s="3">
        <f>+'1.DATOS'!F4</f>
        <v>43373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2" t="s">
        <v>132</v>
      </c>
      <c r="AA1" s="2"/>
      <c r="AB1" s="57" t="s">
        <v>133</v>
      </c>
      <c r="AC1" s="57" t="s">
        <v>133</v>
      </c>
      <c r="AD1" s="57" t="s">
        <v>133</v>
      </c>
      <c r="AE1" s="1" t="s">
        <v>134</v>
      </c>
      <c r="AF1" s="1"/>
      <c r="AG1" s="57" t="s">
        <v>133</v>
      </c>
      <c r="AH1" s="57"/>
      <c r="AI1" s="1" t="s">
        <v>134</v>
      </c>
      <c r="AJ1" s="1"/>
      <c r="AK1" s="1"/>
      <c r="AL1" s="209"/>
      <c r="AM1" s="1" t="s">
        <v>134</v>
      </c>
      <c r="AN1" s="1"/>
      <c r="AO1"/>
      <c r="AP1"/>
      <c r="AQ1"/>
      <c r="AR1"/>
      <c r="AS1"/>
      <c r="AT1" s="57" t="s">
        <v>133</v>
      </c>
      <c r="AU1" s="57" t="s">
        <v>133</v>
      </c>
      <c r="AV1" s="57" t="s">
        <v>133</v>
      </c>
      <c r="AW1" s="57" t="s">
        <v>133</v>
      </c>
      <c r="AX1" s="57" t="s">
        <v>133</v>
      </c>
      <c r="AY1" s="57" t="s">
        <v>136</v>
      </c>
      <c r="AZ1"/>
      <c r="BA1"/>
      <c r="BB1"/>
      <c r="BC1"/>
      <c r="BD1"/>
      <c r="BE1"/>
      <c r="BF1"/>
      <c r="BG1"/>
      <c r="BH1"/>
      <c r="BI1"/>
    </row>
    <row r="2" spans="1:61" ht="36.950000000000003" customHeight="1" x14ac:dyDescent="0.2">
      <c r="A2" s="5"/>
      <c r="B2" s="5"/>
      <c r="C2" s="5"/>
      <c r="D2" s="5"/>
      <c r="E2" s="5"/>
      <c r="F2" s="56"/>
      <c r="G2" s="4"/>
      <c r="H2" s="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 s="210" t="s">
        <v>137</v>
      </c>
      <c r="AA2" s="210"/>
      <c r="AB2" s="60">
        <v>200</v>
      </c>
      <c r="AC2" s="60">
        <v>300</v>
      </c>
      <c r="AD2" s="60">
        <v>50</v>
      </c>
      <c r="AE2" s="1"/>
      <c r="AF2" s="1"/>
      <c r="AG2" s="60">
        <v>50</v>
      </c>
      <c r="AH2" s="60"/>
      <c r="AI2" s="1"/>
      <c r="AJ2" s="1"/>
      <c r="AK2" s="1"/>
      <c r="AL2" s="209"/>
      <c r="AM2" s="1"/>
      <c r="AN2" s="1"/>
      <c r="AO2"/>
      <c r="AP2"/>
      <c r="AQ2"/>
      <c r="AR2"/>
      <c r="AS2"/>
      <c r="AT2" s="60">
        <v>50</v>
      </c>
      <c r="AU2" s="60">
        <v>200</v>
      </c>
      <c r="AV2" s="60">
        <v>100</v>
      </c>
      <c r="AW2" s="60">
        <v>300</v>
      </c>
      <c r="AX2" s="60">
        <v>100</v>
      </c>
      <c r="AY2" s="61">
        <v>0.4</v>
      </c>
      <c r="AZ2"/>
      <c r="BA2"/>
      <c r="BB2"/>
      <c r="BC2"/>
      <c r="BD2"/>
      <c r="BE2"/>
      <c r="BF2"/>
      <c r="BG2"/>
      <c r="BH2"/>
      <c r="BI2"/>
    </row>
    <row r="3" spans="1:61" ht="36.950000000000003" customHeight="1" x14ac:dyDescent="0.2">
      <c r="A3" s="5"/>
      <c r="B3" s="5"/>
      <c r="C3" s="5"/>
      <c r="D3" s="5"/>
      <c r="E3" s="5"/>
      <c r="F3" s="56"/>
      <c r="G3" s="4"/>
      <c r="H3" s="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 s="211" t="s">
        <v>138</v>
      </c>
      <c r="AA3" s="211"/>
      <c r="AB3" s="62" t="s">
        <v>139</v>
      </c>
      <c r="AC3" s="62" t="s">
        <v>140</v>
      </c>
      <c r="AD3" s="62" t="s">
        <v>141</v>
      </c>
      <c r="AE3" s="62" t="s">
        <v>142</v>
      </c>
      <c r="AF3" s="62" t="s">
        <v>143</v>
      </c>
      <c r="AG3" s="62" t="s">
        <v>144</v>
      </c>
      <c r="AH3" s="62"/>
      <c r="AI3" s="62" t="s">
        <v>145</v>
      </c>
      <c r="AJ3" s="62" t="s">
        <v>146</v>
      </c>
      <c r="AK3" s="62" t="s">
        <v>147</v>
      </c>
      <c r="AL3" s="209"/>
      <c r="AM3" s="62" t="s">
        <v>148</v>
      </c>
      <c r="AN3" s="62" t="s">
        <v>148</v>
      </c>
      <c r="AO3" s="106"/>
      <c r="AP3" s="106"/>
      <c r="AQ3" s="106"/>
      <c r="AR3" s="106"/>
      <c r="AS3" s="106"/>
      <c r="AT3" s="62" t="s">
        <v>151</v>
      </c>
      <c r="AU3" s="62" t="s">
        <v>152</v>
      </c>
      <c r="AV3" s="62" t="s">
        <v>153</v>
      </c>
      <c r="AW3" s="62" t="s">
        <v>154</v>
      </c>
      <c r="AX3" s="62" t="s">
        <v>155</v>
      </c>
      <c r="AY3" s="62" t="s">
        <v>148</v>
      </c>
      <c r="AZ3" s="106"/>
      <c r="BA3" s="106"/>
      <c r="BB3" s="106"/>
      <c r="BC3" s="106"/>
      <c r="BD3" s="106"/>
      <c r="BE3" s="106"/>
      <c r="BF3" s="106"/>
      <c r="BG3" s="106"/>
      <c r="BH3" s="106"/>
      <c r="BI3" s="106"/>
    </row>
    <row r="4" spans="1:61" ht="76.900000000000006" customHeight="1" x14ac:dyDescent="0.25">
      <c r="A4" s="212" t="s">
        <v>156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3" t="s">
        <v>157</v>
      </c>
      <c r="N4" s="213"/>
      <c r="O4" s="213"/>
      <c r="P4" s="213"/>
      <c r="Q4" s="213"/>
      <c r="R4" s="212" t="s">
        <v>158</v>
      </c>
      <c r="S4" s="212"/>
      <c r="T4" s="212"/>
      <c r="U4" s="212"/>
      <c r="V4" s="212"/>
      <c r="W4" s="212"/>
      <c r="X4" s="212"/>
      <c r="Y4" s="212"/>
      <c r="Z4" s="209" t="s">
        <v>102</v>
      </c>
      <c r="AA4" s="209"/>
      <c r="AB4" s="214" t="s">
        <v>159</v>
      </c>
      <c r="AC4" s="214"/>
      <c r="AD4" s="214"/>
      <c r="AE4" s="214"/>
      <c r="AF4" s="214"/>
      <c r="AG4" s="214"/>
      <c r="AH4" s="214"/>
      <c r="AI4" s="214"/>
      <c r="AJ4" s="214"/>
      <c r="AK4" s="214"/>
      <c r="AL4" s="209" t="s">
        <v>160</v>
      </c>
      <c r="AM4" s="239" t="s">
        <v>253</v>
      </c>
      <c r="AN4" s="239"/>
      <c r="AO4" s="240" t="s">
        <v>255</v>
      </c>
      <c r="AP4" s="240"/>
      <c r="AQ4" s="217"/>
      <c r="AR4" s="217"/>
      <c r="AS4" s="217"/>
      <c r="AT4" s="218" t="s">
        <v>163</v>
      </c>
      <c r="AU4" s="218"/>
      <c r="AV4" s="218"/>
      <c r="AW4" s="218"/>
      <c r="AX4" s="218"/>
      <c r="AY4" s="218"/>
      <c r="AZ4" s="219" t="s">
        <v>164</v>
      </c>
      <c r="BA4" s="219"/>
      <c r="BB4" s="219"/>
      <c r="BC4" s="219"/>
      <c r="BD4" s="219"/>
      <c r="BE4" s="219"/>
      <c r="BF4" s="219"/>
      <c r="BG4" s="220" t="s">
        <v>165</v>
      </c>
      <c r="BH4" s="220"/>
      <c r="BI4" s="65"/>
    </row>
    <row r="5" spans="1:61" ht="88.9" customHeight="1" x14ac:dyDescent="0.2">
      <c r="A5" s="66" t="s">
        <v>98</v>
      </c>
      <c r="B5" s="67" t="s">
        <v>166</v>
      </c>
      <c r="C5" s="67" t="s">
        <v>167</v>
      </c>
      <c r="D5" s="67" t="s">
        <v>168</v>
      </c>
      <c r="E5" s="66" t="s">
        <v>373</v>
      </c>
      <c r="F5" s="66" t="s">
        <v>389</v>
      </c>
      <c r="G5" s="66" t="s">
        <v>170</v>
      </c>
      <c r="H5" s="66" t="s">
        <v>21</v>
      </c>
      <c r="I5" s="66" t="s">
        <v>171</v>
      </c>
      <c r="J5" s="66" t="s">
        <v>70</v>
      </c>
      <c r="K5" s="66" t="s">
        <v>172</v>
      </c>
      <c r="L5" s="66" t="s">
        <v>173</v>
      </c>
      <c r="M5" s="66" t="s">
        <v>174</v>
      </c>
      <c r="N5" s="66" t="s">
        <v>175</v>
      </c>
      <c r="O5" s="66" t="s">
        <v>176</v>
      </c>
      <c r="P5" s="66" t="s">
        <v>177</v>
      </c>
      <c r="Q5" s="66" t="s">
        <v>178</v>
      </c>
      <c r="R5" s="66" t="s">
        <v>319</v>
      </c>
      <c r="S5" s="66" t="s">
        <v>320</v>
      </c>
      <c r="T5" s="66" t="s">
        <v>321</v>
      </c>
      <c r="U5" s="66" t="s">
        <v>182</v>
      </c>
      <c r="V5" s="66" t="s">
        <v>183</v>
      </c>
      <c r="W5" s="66" t="s">
        <v>184</v>
      </c>
      <c r="X5" s="66" t="s">
        <v>185</v>
      </c>
      <c r="Y5" s="66" t="s">
        <v>267</v>
      </c>
      <c r="Z5" s="68" t="s">
        <v>390</v>
      </c>
      <c r="AA5" s="68" t="s">
        <v>391</v>
      </c>
      <c r="AB5" s="69" t="s">
        <v>392</v>
      </c>
      <c r="AC5" s="69" t="s">
        <v>193</v>
      </c>
      <c r="AD5" s="69" t="s">
        <v>378</v>
      </c>
      <c r="AE5" s="69" t="s">
        <v>18</v>
      </c>
      <c r="AF5" s="69" t="s">
        <v>379</v>
      </c>
      <c r="AG5" s="69" t="s">
        <v>196</v>
      </c>
      <c r="AH5" s="69" t="s">
        <v>393</v>
      </c>
      <c r="AI5" s="69" t="s">
        <v>197</v>
      </c>
      <c r="AJ5" s="69" t="s">
        <v>198</v>
      </c>
      <c r="AK5" s="69" t="s">
        <v>199</v>
      </c>
      <c r="AL5" s="209"/>
      <c r="AM5" s="70" t="s">
        <v>380</v>
      </c>
      <c r="AN5" s="70" t="s">
        <v>394</v>
      </c>
      <c r="AO5" s="69" t="s">
        <v>382</v>
      </c>
      <c r="AP5" s="69" t="s">
        <v>395</v>
      </c>
      <c r="AQ5" s="70" t="s">
        <v>396</v>
      </c>
      <c r="AR5" s="70" t="s">
        <v>397</v>
      </c>
      <c r="AS5" s="70" t="s">
        <v>398</v>
      </c>
      <c r="AT5" s="71" t="s">
        <v>213</v>
      </c>
      <c r="AU5" s="71" t="s">
        <v>214</v>
      </c>
      <c r="AV5" s="71" t="s">
        <v>215</v>
      </c>
      <c r="AW5" s="71" t="s">
        <v>216</v>
      </c>
      <c r="AX5" s="71" t="s">
        <v>217</v>
      </c>
      <c r="AY5" s="71" t="s">
        <v>218</v>
      </c>
      <c r="AZ5" s="72" t="s">
        <v>219</v>
      </c>
      <c r="BA5" s="72" t="s">
        <v>298</v>
      </c>
      <c r="BB5" s="72" t="s">
        <v>299</v>
      </c>
      <c r="BC5" s="72" t="s">
        <v>222</v>
      </c>
      <c r="BD5" s="72" t="s">
        <v>223</v>
      </c>
      <c r="BE5" s="72" t="s">
        <v>224</v>
      </c>
      <c r="BF5" s="72" t="s">
        <v>225</v>
      </c>
      <c r="BG5" s="72" t="s">
        <v>226</v>
      </c>
      <c r="BH5" s="72" t="s">
        <v>387</v>
      </c>
      <c r="BI5" s="73" t="s">
        <v>304</v>
      </c>
    </row>
    <row r="6" spans="1:61" ht="24.95" customHeight="1" x14ac:dyDescent="0.2">
      <c r="A6" s="221" t="s">
        <v>229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76"/>
      <c r="S6" s="76"/>
      <c r="T6" s="76"/>
      <c r="U6" s="77"/>
      <c r="V6" s="77"/>
      <c r="W6" s="77"/>
      <c r="X6" s="77"/>
      <c r="Y6" s="77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 t="s">
        <v>231</v>
      </c>
      <c r="AN6" s="78"/>
      <c r="AO6" s="78" t="s">
        <v>232</v>
      </c>
      <c r="AP6" s="78" t="s">
        <v>233</v>
      </c>
      <c r="AQ6" s="78" t="s">
        <v>238</v>
      </c>
      <c r="AR6" s="78" t="s">
        <v>239</v>
      </c>
      <c r="AS6" s="78" t="s">
        <v>240</v>
      </c>
      <c r="AT6" s="78"/>
      <c r="AU6" s="78"/>
      <c r="AV6" s="78"/>
      <c r="AW6" s="78"/>
      <c r="AX6" s="78"/>
      <c r="AY6" s="78"/>
      <c r="AZ6" s="78" t="s">
        <v>241</v>
      </c>
      <c r="BA6" s="78" t="s">
        <v>242</v>
      </c>
      <c r="BB6" s="78" t="s">
        <v>243</v>
      </c>
      <c r="BC6" s="78" t="s">
        <v>244</v>
      </c>
      <c r="BD6" s="78" t="s">
        <v>245</v>
      </c>
      <c r="BE6" s="78" t="s">
        <v>246</v>
      </c>
      <c r="BF6" s="78" t="s">
        <v>247</v>
      </c>
      <c r="BG6" s="78" t="s">
        <v>248</v>
      </c>
      <c r="BH6" s="78" t="s">
        <v>248</v>
      </c>
      <c r="BI6" s="78"/>
    </row>
    <row r="7" spans="1:61" ht="30.95" customHeight="1" x14ac:dyDescent="0.25">
      <c r="A7" s="93">
        <v>1</v>
      </c>
      <c r="B7" s="94"/>
      <c r="C7" s="95"/>
      <c r="D7" s="95"/>
      <c r="E7" s="96"/>
      <c r="F7" s="96"/>
      <c r="G7" s="95"/>
      <c r="H7" s="95"/>
      <c r="I7" s="95"/>
      <c r="J7" s="95"/>
      <c r="K7" s="95"/>
      <c r="L7" s="84">
        <f>+(IF(AND(B7&gt;0,E7&gt;0),SUMIFS('2.CARGOS-SALARIOS'!$F$13:$F$105,'2.CARGOS-SALARIOS'!$D$13:$D$105,I7,'2.CARGOS-SALARIOS'!$E$13:$E$105,J7,'2.CARGOS-SALARIOS'!$C$13:$C$105,H7),0))</f>
        <v>0</v>
      </c>
      <c r="M7" s="84">
        <f>INT(IF(L7&gt;0,((YEARFRAC(E7,$H$1,3))),0))</f>
        <v>0</v>
      </c>
      <c r="N7" s="81"/>
      <c r="O7" s="84">
        <f>SUM(M7:N7)</f>
        <v>0</v>
      </c>
      <c r="P7" s="81"/>
      <c r="Q7" s="85">
        <f>+IF(AND(E7&gt;0,OR(MONTH($H$1)=3,MONTH($H$1)=6,MONTH($H$1)=9,MONTH($H$1)=12),MONTH(E7)&lt;=MONTH($H$1),MONTH(E7)&gt;=MONTH($H$1)-2),VLOOKUP(DAYS360(E7,$H$1),'1.DATOS'!$G$27:$I$42,2),0)</f>
        <v>0</v>
      </c>
      <c r="R7" s="81"/>
      <c r="S7" s="81"/>
      <c r="T7" s="81"/>
      <c r="U7" s="81"/>
      <c r="V7" s="81"/>
      <c r="W7" s="81"/>
      <c r="X7" s="81"/>
      <c r="Y7" s="81"/>
      <c r="Z7" s="98">
        <f>+IF(H7='1.DATOS'!$H$13,0,L7)</f>
        <v>0</v>
      </c>
      <c r="AA7" s="98">
        <f>+IF(H7='1.DATOS'!$H$13,L7,0)</f>
        <v>0</v>
      </c>
      <c r="AB7" s="98">
        <f>+IF(OR(Z7&gt;0,AA7&gt;0),'1.DATOS'!D10*$AAG$2*W7,0)</f>
        <v>0</v>
      </c>
      <c r="AC7" s="98" t="b">
        <f>+IF(OR(Z7&gt;0,AA7&gt;0),IF(OR(I7="TIEMPO COMPLETO",I7="Dedicación Exclusiva"),'1.DATOS'!$D$10*$AC$2,0))</f>
        <v>0</v>
      </c>
      <c r="AD7" s="98" t="b">
        <f>+IF(OR(Z7&gt;0,AA7&gt;0),IF(OR(J7='2.CARGOS-SALARIOS'!$J$13,J7='2.CARGOS-SALARIOS'!$J$14),'1.DATOS'!$D$10*$AD$2,"No Apĺica"))</f>
        <v>0</v>
      </c>
      <c r="AE7" s="98" t="b">
        <f>+IF(OR(Z7&gt;0,AA7&gt;0),IF(OR(H7='1.DATOS'!$H$15,H7='1.DATOS'!$H$16),(Z7+AA7)*VLOOKUP(Y7,'1.DATOS'!$C$14:$E$22,3,0),"No Aplica"))</f>
        <v>0</v>
      </c>
      <c r="AF7" s="98" t="b">
        <f>+IF(OR(Z7&gt;0,AA7&gt;0),(Z7+AA7)*0.015*O7)</f>
        <v>0</v>
      </c>
      <c r="AG7" s="98" t="str">
        <f>+IF(AND(OR(Z7&gt;0,AA7&gt;0),H7='1.DATOS'!$H$16,K7="SI"),'1.DATOS'!$D$10*$AG$2,"No Aplica")</f>
        <v>No Aplica</v>
      </c>
      <c r="AH7" s="98"/>
      <c r="AI7" s="98" t="str">
        <f>+IF(AND(Z7&gt;0,H7='1.DATOS'!$H$14,Y7='1.DATOS'!$C$19),Z7*'1.DATOS'!$E$19,"No Aplica")</f>
        <v>No Aplica</v>
      </c>
      <c r="AJ7" s="98" t="str">
        <f>+IF(AND(Z7&gt;0,H7='1.DATOS'!$H$14,Y7='1.DATOS'!$C$20),Z7*'1.DATOS'!$E$20,"No Aplica")</f>
        <v>No Aplica</v>
      </c>
      <c r="AK7" s="98" t="str">
        <f>+IF(AND(Z7&gt;0,H7='1.DATOS'!$H$14,Y7='1.DATOS'!$C$21),Z7*'1.DATOS'!$E$21,"No Aplica")</f>
        <v>No Aplica</v>
      </c>
      <c r="AL7" s="98">
        <f>SUM(Z7:AK7)</f>
        <v>0</v>
      </c>
      <c r="AM7" s="100" t="b">
        <f>+IF(OR(Z7&gt;0,AA7&gt;0),('1.DATOS'!$D$10*'1.DATOS'!$F$10*'1.DATOS'!$G$10))</f>
        <v>0</v>
      </c>
      <c r="AN7" s="100">
        <v>0</v>
      </c>
      <c r="AO7" s="100">
        <f>+((((AL7+AQ7)+(AL7+AQ7)/30*120/12))/30*105)*0</f>
        <v>0</v>
      </c>
      <c r="AP7" s="100">
        <f>+((((AL7+AQ7)+(AL7+AQ7)/30*105/12))/30*120)*0</f>
        <v>0</v>
      </c>
      <c r="AQ7" s="100">
        <f>+AL7*'1.DATOS'!$J$14</f>
        <v>0</v>
      </c>
      <c r="AR7" s="100">
        <f>+IF(OR('1.DATOS'!$D$4='1.DATOS'!$C$28,'1.DATOS'!$D$4='1.DATOS'!$C$31,'1.DATOS'!$D$4='1.DATOS'!$C$34,'1.DATOS'!$D$4='1.DATOS'!$C$37),AL7/30*530/360,"Falso")</f>
        <v>0</v>
      </c>
      <c r="AS7" s="100">
        <v>0</v>
      </c>
      <c r="AT7" s="100" t="b">
        <f>+IF(AL7&gt;0,IF(OR(I7="TIEMPO COMPLETO",I7="Dedicación Exclusiva"),($AT$2*'1.DATOS'!$D$10*U7)))</f>
        <v>0</v>
      </c>
      <c r="AU7" s="100">
        <v>0</v>
      </c>
      <c r="AV7" s="100">
        <v>0</v>
      </c>
      <c r="AW7" s="100">
        <v>0</v>
      </c>
      <c r="AX7" s="100">
        <v>0</v>
      </c>
      <c r="AY7" s="100" t="b">
        <f>+IF(OR(Z7&gt;0,AA7&gt;0),IF(OR(I7="TIEMPO COMPLETO",I7="Dedicación Exclusiva"),('1.DATOS'!$C$10*$AY$2)*V7))</f>
        <v>0</v>
      </c>
      <c r="AZ7" s="100">
        <f>+AL7*0.01</f>
        <v>0</v>
      </c>
      <c r="BA7" s="100">
        <v>0</v>
      </c>
      <c r="BB7" s="100">
        <v>0</v>
      </c>
      <c r="BC7" s="100">
        <v>0</v>
      </c>
      <c r="BD7" s="100">
        <f>+(BB7+BC7)*0.12</f>
        <v>0</v>
      </c>
      <c r="BE7" s="100">
        <v>0</v>
      </c>
      <c r="BF7" s="100">
        <v>0</v>
      </c>
      <c r="BG7" s="100">
        <v>0</v>
      </c>
      <c r="BH7" s="100">
        <v>0</v>
      </c>
      <c r="BI7" s="65">
        <f>+SUM(AL7:BH7)</f>
        <v>0</v>
      </c>
    </row>
    <row r="8" spans="1:61" ht="30.95" customHeight="1" x14ac:dyDescent="0.25">
      <c r="A8" s="93">
        <f>+A7+1</f>
        <v>2</v>
      </c>
      <c r="B8" s="94"/>
      <c r="C8" s="95"/>
      <c r="D8" s="95"/>
      <c r="E8" s="96"/>
      <c r="F8" s="96"/>
      <c r="G8" s="95"/>
      <c r="H8" s="95"/>
      <c r="I8" s="95"/>
      <c r="J8" s="95"/>
      <c r="K8" s="95"/>
      <c r="L8" s="84">
        <f>+(IF(AND(B8&gt;0,E8&gt;0),SUMIFS('2.CARGOS-SALARIOS'!$F$13:$F$105,'2.CARGOS-SALARIOS'!$D$13:$D$105,I8,'2.CARGOS-SALARIOS'!$E$13:$E$105,J8,'2.CARGOS-SALARIOS'!$C$13:$C$105,H8),0))</f>
        <v>0</v>
      </c>
      <c r="M8" s="84">
        <f>INT(IF(L8&gt;0,((YEARFRAC(E8,$H$1,3))),0))</f>
        <v>0</v>
      </c>
      <c r="N8" s="81"/>
      <c r="O8" s="84">
        <f>SUM(M8:N8)</f>
        <v>0</v>
      </c>
      <c r="P8" s="81"/>
      <c r="Q8" s="85">
        <f>+IF(AND(E8&gt;0,OR(MONTH($H$1)=3,MONTH($H$1)=6,MONTH($H$1)=9,MONTH($H$1)=12),MONTH(E8)&lt;=MONTH($H$1),MONTH(E8)&gt;=MONTH($H$1)-2),VLOOKUP(DAYS360(E8,$H$1),'1.DATOS'!$G$27:$I$42,2),0)</f>
        <v>0</v>
      </c>
      <c r="R8" s="81"/>
      <c r="S8" s="81"/>
      <c r="T8" s="81"/>
      <c r="U8" s="81"/>
      <c r="V8" s="81"/>
      <c r="W8" s="81"/>
      <c r="X8" s="81"/>
      <c r="Y8" s="81"/>
      <c r="Z8" s="98">
        <f>+IF(H8='1.DATOS'!$H$13,0,L8)</f>
        <v>0</v>
      </c>
      <c r="AA8" s="98">
        <f>+IF(H8='1.DATOS'!$H$13,L8,0)</f>
        <v>0</v>
      </c>
      <c r="AB8" s="98">
        <f>+IF(OR(Z8&gt;0,AA8&gt;0),'1.DATOS'!D11*$AAG$2*W8,0)</f>
        <v>0</v>
      </c>
      <c r="AC8" s="98" t="b">
        <f>+IF(OR(Z8&gt;0,AA8&gt;0),IF(OR(I8="TIEMPO COMPLETO",I8="Dedicación Exclusiva"),'1.DATOS'!$D$10*$AC$2,0))</f>
        <v>0</v>
      </c>
      <c r="AD8" s="98" t="b">
        <f>+IF(OR(Z8&gt;0,AA8&gt;0),IF(OR(J8='2.CARGOS-SALARIOS'!$J$13,J8='2.CARGOS-SALARIOS'!$J$14),'1.DATOS'!$D$10*$AD$2,"No Apĺica"))</f>
        <v>0</v>
      </c>
      <c r="AE8" s="98" t="b">
        <f>+IF(OR(Z8&gt;0,AA8&gt;0),IF(OR(H8='1.DATOS'!$H$15,H8='1.DATOS'!$H$16),(Z8+AA8)*VLOOKUP(Y8,'1.DATOS'!$C$14:$E$22,3,0),"No Aplica"))</f>
        <v>0</v>
      </c>
      <c r="AF8" s="98" t="b">
        <f>+IF(OR(Z8&gt;0,AA8&gt;0),(Z8+AA8)*0.015*O8)</f>
        <v>0</v>
      </c>
      <c r="AG8" s="98" t="str">
        <f>+IF(AND(OR(Z8&gt;0,AA8&gt;0),H8='1.DATOS'!$H$16,K8="SI"),'1.DATOS'!$D$10*$AG$2,"No Aplica")</f>
        <v>No Aplica</v>
      </c>
      <c r="AH8" s="98"/>
      <c r="AI8" s="98" t="str">
        <f>+IF(AND(Z8&gt;0,H8='1.DATOS'!$H$14,Y8='1.DATOS'!$C$19),Z8*'1.DATOS'!$E$19,"No Aplica")</f>
        <v>No Aplica</v>
      </c>
      <c r="AJ8" s="98" t="str">
        <f>+IF(AND(Z8&gt;0,H8='1.DATOS'!$H$14,Y8='1.DATOS'!$C$20),Z8*'1.DATOS'!$E$20,"No Aplica")</f>
        <v>No Aplica</v>
      </c>
      <c r="AK8" s="98" t="str">
        <f>+IF(AND(Z8&gt;0,H8='1.DATOS'!$H$14,Y8='1.DATOS'!$C$21),Z8*'1.DATOS'!$E$21,"No Aplica")</f>
        <v>No Aplica</v>
      </c>
      <c r="AL8" s="98">
        <f>SUM(Z8:AK8)</f>
        <v>0</v>
      </c>
      <c r="AM8" s="100" t="b">
        <f>+IF(OR(Z8&gt;0,AA8&gt;0),('1.DATOS'!$D$10*'1.DATOS'!$F$10*'1.DATOS'!$G$10))</f>
        <v>0</v>
      </c>
      <c r="AN8" s="100">
        <v>0</v>
      </c>
      <c r="AO8" s="100">
        <f>+((((AL8+AQ8)+(AL8+AQ8)/30*120/12))/30*105)*0</f>
        <v>0</v>
      </c>
      <c r="AP8" s="100">
        <f>+((((AL8+AQ8)+(AL8+AQ8)/30*105/12))/30*120)*0</f>
        <v>0</v>
      </c>
      <c r="AQ8" s="100">
        <f>+AL8*'1.DATOS'!$J$14</f>
        <v>0</v>
      </c>
      <c r="AR8" s="100">
        <f>+IF(OR('1.DATOS'!$D$4='1.DATOS'!$C$28,'1.DATOS'!$D$4='1.DATOS'!$C$31,'1.DATOS'!$D$4='1.DATOS'!$C$34,'1.DATOS'!$D$4='1.DATOS'!$C$37),AL8/30*530/360,"Falso")</f>
        <v>0</v>
      </c>
      <c r="AS8" s="100">
        <v>0</v>
      </c>
      <c r="AT8" s="100" t="b">
        <f>+IF(AL8&gt;0,IF(OR(I8="TIEMPO COMPLETO",I8="Dedicación Exclusiva"),($AT$2*'1.DATOS'!$D$10*U8)))</f>
        <v>0</v>
      </c>
      <c r="AU8" s="100">
        <v>0</v>
      </c>
      <c r="AV8" s="100">
        <v>0</v>
      </c>
      <c r="AW8" s="100">
        <v>0</v>
      </c>
      <c r="AX8" s="100">
        <v>0</v>
      </c>
      <c r="AY8" s="100" t="b">
        <f>+IF(OR(Z8&gt;0,AA8&gt;0),IF(OR(I8="TIEMPO COMPLETO",I8="Dedicación Exclusiva"),('1.DATOS'!$C$10*$AY$2)*V8))</f>
        <v>0</v>
      </c>
      <c r="AZ8" s="100">
        <f>+AL8*0.01</f>
        <v>0</v>
      </c>
      <c r="BA8" s="100">
        <v>0</v>
      </c>
      <c r="BB8" s="100">
        <v>0</v>
      </c>
      <c r="BC8" s="100">
        <v>0</v>
      </c>
      <c r="BD8" s="100">
        <f>+(BB8+BC8)*0.12</f>
        <v>0</v>
      </c>
      <c r="BE8" s="100">
        <v>0</v>
      </c>
      <c r="BF8" s="100">
        <v>0</v>
      </c>
      <c r="BG8" s="100">
        <v>0</v>
      </c>
      <c r="BH8" s="100">
        <v>0</v>
      </c>
      <c r="BI8" s="65">
        <f>+SUM(AL8:BH8)</f>
        <v>0</v>
      </c>
    </row>
    <row r="9" spans="1:61" ht="30.95" customHeight="1" x14ac:dyDescent="0.25">
      <c r="A9" s="93">
        <f>+A8+1</f>
        <v>3</v>
      </c>
      <c r="B9" s="94"/>
      <c r="C9" s="95"/>
      <c r="D9" s="95"/>
      <c r="E9" s="96"/>
      <c r="F9" s="96"/>
      <c r="G9" s="95"/>
      <c r="H9" s="95"/>
      <c r="I9" s="95"/>
      <c r="J9" s="95"/>
      <c r="K9" s="95"/>
      <c r="L9" s="84">
        <f>+(IF(AND(B9&gt;0,E9&gt;0),SUMIFS('2.CARGOS-SALARIOS'!$F$13:$F$105,'2.CARGOS-SALARIOS'!$D$13:$D$105,I9,'2.CARGOS-SALARIOS'!$E$13:$E$105,J9,'2.CARGOS-SALARIOS'!$C$13:$C$105,H9),0))</f>
        <v>0</v>
      </c>
      <c r="M9" s="84">
        <f>INT(IF(L9&gt;0,((YEARFRAC(E9,$H$1,3))),0))</f>
        <v>0</v>
      </c>
      <c r="N9" s="81"/>
      <c r="O9" s="84">
        <f>SUM(M9:N9)</f>
        <v>0</v>
      </c>
      <c r="P9" s="81"/>
      <c r="Q9" s="85">
        <f>+IF(AND(E9&gt;0,OR(MONTH($H$1)=3,MONTH($H$1)=6,MONTH($H$1)=9,MONTH($H$1)=12),MONTH(E9)&lt;=MONTH($H$1),MONTH(E9)&gt;=MONTH($H$1)-2),VLOOKUP(DAYS360(E9,$H$1),'1.DATOS'!$G$27:$I$42,2),0)</f>
        <v>0</v>
      </c>
      <c r="R9" s="81"/>
      <c r="S9" s="81"/>
      <c r="T9" s="81"/>
      <c r="U9" s="81"/>
      <c r="V9" s="81"/>
      <c r="W9" s="81"/>
      <c r="X9" s="81"/>
      <c r="Y9" s="81"/>
      <c r="Z9" s="98">
        <f>+IF(H9='1.DATOS'!$H$13,0,L9)</f>
        <v>0</v>
      </c>
      <c r="AA9" s="98">
        <f>+IF(H9='1.DATOS'!$H$13,L9,0)</f>
        <v>0</v>
      </c>
      <c r="AB9" s="98">
        <f>+IF(OR(Z9&gt;0,AA9&gt;0),'1.DATOS'!D12*$AAG$2*W9,0)</f>
        <v>0</v>
      </c>
      <c r="AC9" s="98" t="b">
        <f>+IF(OR(Z9&gt;0,AA9&gt;0),IF(OR(I9="TIEMPO COMPLETO",I9="Dedicación Exclusiva"),'1.DATOS'!$D$10*$AC$2,0))</f>
        <v>0</v>
      </c>
      <c r="AD9" s="98" t="b">
        <f>+IF(OR(Z9&gt;0,AA9&gt;0),IF(OR(J9='2.CARGOS-SALARIOS'!$J$13,J9='2.CARGOS-SALARIOS'!$J$14),'1.DATOS'!$D$10*$AD$2,"No Apĺica"))</f>
        <v>0</v>
      </c>
      <c r="AE9" s="98" t="b">
        <f>+IF(OR(Z9&gt;0,AA9&gt;0),IF(OR(H9='1.DATOS'!$H$15,H9='1.DATOS'!$H$16),(Z9+AA9)*VLOOKUP(Y9,'1.DATOS'!$C$14:$E$22,3,0),"No Aplica"))</f>
        <v>0</v>
      </c>
      <c r="AF9" s="98" t="b">
        <f>+IF(OR(Z9&gt;0,AA9&gt;0),(Z9+AA9)*0.015*O9)</f>
        <v>0</v>
      </c>
      <c r="AG9" s="98" t="str">
        <f>+IF(AND(OR(Z9&gt;0,AA9&gt;0),H9='1.DATOS'!$H$16,K9="SI"),'1.DATOS'!$D$10*$AG$2,"No Aplica")</f>
        <v>No Aplica</v>
      </c>
      <c r="AH9" s="98"/>
      <c r="AI9" s="98" t="str">
        <f>+IF(AND(Z9&gt;0,H9='1.DATOS'!$H$14,Y9='1.DATOS'!$C$19),Z9*'1.DATOS'!$E$19,"No Aplica")</f>
        <v>No Aplica</v>
      </c>
      <c r="AJ9" s="98" t="str">
        <f>+IF(AND(Z9&gt;0,H9='1.DATOS'!$H$14,Y9='1.DATOS'!$C$20),Z9*'1.DATOS'!$E$20,"No Aplica")</f>
        <v>No Aplica</v>
      </c>
      <c r="AK9" s="98" t="str">
        <f>+IF(AND(Z9&gt;0,H9='1.DATOS'!$H$14,Y9='1.DATOS'!$C$21),Z9*'1.DATOS'!$E$21,"No Aplica")</f>
        <v>No Aplica</v>
      </c>
      <c r="AL9" s="98">
        <f>SUM(Z9:AK9)</f>
        <v>0</v>
      </c>
      <c r="AM9" s="100" t="b">
        <f>+IF(OR(Z9&gt;0,AA9&gt;0),('1.DATOS'!$D$10*'1.DATOS'!$F$10*'1.DATOS'!$G$10))</f>
        <v>0</v>
      </c>
      <c r="AN9" s="100">
        <v>0</v>
      </c>
      <c r="AO9" s="100">
        <f>+((((AL9+AQ9)+(AL9+AQ9)/30*120/12))/30*105)*0</f>
        <v>0</v>
      </c>
      <c r="AP9" s="100">
        <f>+((((AL9+AQ9)+(AL9+AQ9)/30*105/12))/30*120)*0</f>
        <v>0</v>
      </c>
      <c r="AQ9" s="100">
        <f>+AL9*'1.DATOS'!$J$14</f>
        <v>0</v>
      </c>
      <c r="AR9" s="100">
        <f>+IF(OR('1.DATOS'!$D$4='1.DATOS'!$C$28,'1.DATOS'!$D$4='1.DATOS'!$C$31,'1.DATOS'!$D$4='1.DATOS'!$C$34,'1.DATOS'!$D$4='1.DATOS'!$C$37),AL9/30*530/360,"Falso")</f>
        <v>0</v>
      </c>
      <c r="AS9" s="100">
        <v>0</v>
      </c>
      <c r="AT9" s="100" t="b">
        <f>+IF(AL9&gt;0,IF(OR(I9="TIEMPO COMPLETO",I9="Dedicación Exclusiva"),($AT$2*'1.DATOS'!$D$10*U9)))</f>
        <v>0</v>
      </c>
      <c r="AU9" s="100">
        <v>0</v>
      </c>
      <c r="AV9" s="100">
        <v>0</v>
      </c>
      <c r="AW9" s="100">
        <v>0</v>
      </c>
      <c r="AX9" s="100">
        <v>0</v>
      </c>
      <c r="AY9" s="100" t="b">
        <f>+IF(OR(Z9&gt;0,AA9&gt;0),IF(OR(I9="TIEMPO COMPLETO",I9="Dedicación Exclusiva"),('1.DATOS'!$C$10*$AY$2)*V9))</f>
        <v>0</v>
      </c>
      <c r="AZ9" s="100">
        <f>+AL9*0.01</f>
        <v>0</v>
      </c>
      <c r="BA9" s="100">
        <v>0</v>
      </c>
      <c r="BB9" s="100">
        <v>0</v>
      </c>
      <c r="BC9" s="100">
        <v>0</v>
      </c>
      <c r="BD9" s="100">
        <f>+(BB9+BC9)*0.12</f>
        <v>0</v>
      </c>
      <c r="BE9" s="100">
        <v>0</v>
      </c>
      <c r="BF9" s="100">
        <v>0</v>
      </c>
      <c r="BG9" s="100">
        <v>0</v>
      </c>
      <c r="BH9" s="100">
        <v>0</v>
      </c>
      <c r="BI9" s="65">
        <f>+SUM(AL9:BH9)</f>
        <v>0</v>
      </c>
    </row>
    <row r="10" spans="1:61" ht="30" customHeight="1" x14ac:dyDescent="0.25">
      <c r="A10" s="93"/>
      <c r="B10" s="94"/>
      <c r="C10" s="95"/>
      <c r="D10" s="95"/>
      <c r="E10" s="96"/>
      <c r="F10" s="96"/>
      <c r="G10" s="95"/>
      <c r="H10" s="95"/>
      <c r="I10" s="95"/>
      <c r="J10" s="95"/>
      <c r="K10" s="95"/>
      <c r="L10" s="84"/>
      <c r="M10" s="84"/>
      <c r="N10" s="81"/>
      <c r="O10" s="84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98"/>
      <c r="AA10" s="98"/>
      <c r="AB10" s="98"/>
      <c r="AC10" s="98"/>
      <c r="AD10" s="99"/>
      <c r="AE10" s="98"/>
      <c r="AF10" s="98"/>
      <c r="AG10" s="98"/>
      <c r="AH10" s="98"/>
      <c r="AI10" s="98"/>
      <c r="AJ10" s="98"/>
      <c r="AK10" s="98"/>
      <c r="AL10" s="98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65"/>
    </row>
    <row r="11" spans="1:61" ht="15" x14ac:dyDescent="0.25">
      <c r="A11" s="242" t="s">
        <v>130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</row>
    <row r="12" spans="1:61" ht="15.75" x14ac:dyDescent="0.2">
      <c r="A12" s="104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</row>
    <row r="13" spans="1:61" x14ac:dyDescent="0.2">
      <c r="G13" s="54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x14ac:dyDescent="0.2">
      <c r="G14" s="5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ht="15.75" x14ac:dyDescent="0.25">
      <c r="E15"/>
      <c r="F15"/>
      <c r="G15" s="54"/>
      <c r="I15"/>
      <c r="J15"/>
      <c r="L15" s="112">
        <f t="shared" ref="L15:AG15" si="0">SUM(L7:L10)</f>
        <v>0</v>
      </c>
      <c r="M15" s="112">
        <f t="shared" si="0"/>
        <v>0</v>
      </c>
      <c r="N15" s="112">
        <f t="shared" si="0"/>
        <v>0</v>
      </c>
      <c r="O15" s="112">
        <f t="shared" si="0"/>
        <v>0</v>
      </c>
      <c r="P15" s="112">
        <f t="shared" si="0"/>
        <v>0</v>
      </c>
      <c r="Q15" s="112">
        <f t="shared" si="0"/>
        <v>0</v>
      </c>
      <c r="R15" s="112">
        <f t="shared" si="0"/>
        <v>0</v>
      </c>
      <c r="S15" s="112">
        <f t="shared" si="0"/>
        <v>0</v>
      </c>
      <c r="T15" s="112">
        <f t="shared" si="0"/>
        <v>0</v>
      </c>
      <c r="U15" s="112">
        <f t="shared" si="0"/>
        <v>0</v>
      </c>
      <c r="V15" s="112">
        <f t="shared" si="0"/>
        <v>0</v>
      </c>
      <c r="W15" s="112">
        <f t="shared" si="0"/>
        <v>0</v>
      </c>
      <c r="X15" s="112">
        <f t="shared" si="0"/>
        <v>0</v>
      </c>
      <c r="Y15" s="112">
        <f t="shared" si="0"/>
        <v>0</v>
      </c>
      <c r="Z15" s="112">
        <f t="shared" si="0"/>
        <v>0</v>
      </c>
      <c r="AA15" s="112">
        <f t="shared" si="0"/>
        <v>0</v>
      </c>
      <c r="AB15" s="112">
        <f t="shared" si="0"/>
        <v>0</v>
      </c>
      <c r="AC15" s="112">
        <f t="shared" si="0"/>
        <v>0</v>
      </c>
      <c r="AD15" s="112">
        <f t="shared" si="0"/>
        <v>0</v>
      </c>
      <c r="AE15" s="112">
        <f t="shared" si="0"/>
        <v>0</v>
      </c>
      <c r="AF15" s="112">
        <f t="shared" si="0"/>
        <v>0</v>
      </c>
      <c r="AG15" s="112">
        <f t="shared" si="0"/>
        <v>0</v>
      </c>
      <c r="AH15" s="112"/>
      <c r="AI15" s="112">
        <f t="shared" ref="AI15:BI15" si="1">SUM(AI7:AI10)</f>
        <v>0</v>
      </c>
      <c r="AJ15" s="112">
        <f t="shared" si="1"/>
        <v>0</v>
      </c>
      <c r="AK15" s="112">
        <f t="shared" si="1"/>
        <v>0</v>
      </c>
      <c r="AL15" s="112">
        <f t="shared" si="1"/>
        <v>0</v>
      </c>
      <c r="AM15" s="112">
        <f t="shared" si="1"/>
        <v>0</v>
      </c>
      <c r="AN15" s="112">
        <f t="shared" si="1"/>
        <v>0</v>
      </c>
      <c r="AO15" s="112">
        <f t="shared" si="1"/>
        <v>0</v>
      </c>
      <c r="AP15" s="112">
        <f t="shared" si="1"/>
        <v>0</v>
      </c>
      <c r="AQ15" s="112">
        <f t="shared" si="1"/>
        <v>0</v>
      </c>
      <c r="AR15" s="112">
        <f t="shared" si="1"/>
        <v>0</v>
      </c>
      <c r="AS15" s="112">
        <f t="shared" si="1"/>
        <v>0</v>
      </c>
      <c r="AT15" s="112">
        <f t="shared" si="1"/>
        <v>0</v>
      </c>
      <c r="AU15" s="112">
        <f t="shared" si="1"/>
        <v>0</v>
      </c>
      <c r="AV15" s="112">
        <f t="shared" si="1"/>
        <v>0</v>
      </c>
      <c r="AW15" s="112">
        <f t="shared" si="1"/>
        <v>0</v>
      </c>
      <c r="AX15" s="112">
        <f t="shared" si="1"/>
        <v>0</v>
      </c>
      <c r="AY15" s="112">
        <f t="shared" si="1"/>
        <v>0</v>
      </c>
      <c r="AZ15" s="112">
        <f t="shared" si="1"/>
        <v>0</v>
      </c>
      <c r="BA15" s="112">
        <f t="shared" si="1"/>
        <v>0</v>
      </c>
      <c r="BB15" s="112">
        <f t="shared" si="1"/>
        <v>0</v>
      </c>
      <c r="BC15" s="112">
        <f t="shared" si="1"/>
        <v>0</v>
      </c>
      <c r="BD15" s="112">
        <f t="shared" si="1"/>
        <v>0</v>
      </c>
      <c r="BE15" s="112">
        <f t="shared" si="1"/>
        <v>0</v>
      </c>
      <c r="BF15" s="112">
        <f t="shared" si="1"/>
        <v>0</v>
      </c>
      <c r="BG15" s="112">
        <f t="shared" si="1"/>
        <v>0</v>
      </c>
      <c r="BH15" s="112">
        <f t="shared" si="1"/>
        <v>0</v>
      </c>
      <c r="BI15" s="114">
        <f t="shared" si="1"/>
        <v>0</v>
      </c>
    </row>
    <row r="16" spans="1:61" ht="18" x14ac:dyDescent="0.25">
      <c r="C16" s="171" t="s">
        <v>249</v>
      </c>
      <c r="D16" s="111">
        <f>+COUNTA(B7:B10)</f>
        <v>0</v>
      </c>
      <c r="G16" s="54"/>
      <c r="Z16" s="55"/>
      <c r="AQ16" s="54"/>
      <c r="AR16" s="54"/>
    </row>
  </sheetData>
  <mergeCells count="24">
    <mergeCell ref="AZ4:BF4"/>
    <mergeCell ref="BG4:BH4"/>
    <mergeCell ref="A6:Q6"/>
    <mergeCell ref="A11:K11"/>
    <mergeCell ref="AL4:AL5"/>
    <mergeCell ref="AM4:AN4"/>
    <mergeCell ref="AO4:AP4"/>
    <mergeCell ref="AQ4:AS4"/>
    <mergeCell ref="AT4:AY4"/>
    <mergeCell ref="A4:L4"/>
    <mergeCell ref="M4:Q4"/>
    <mergeCell ref="R4:Y4"/>
    <mergeCell ref="Z4:AA4"/>
    <mergeCell ref="AB4:AK4"/>
    <mergeCell ref="AI1:AK2"/>
    <mergeCell ref="AL1:AL3"/>
    <mergeCell ref="AM1:AN2"/>
    <mergeCell ref="Z2:AA2"/>
    <mergeCell ref="Z3:AA3"/>
    <mergeCell ref="A1:E3"/>
    <mergeCell ref="G1:G3"/>
    <mergeCell ref="H1:H3"/>
    <mergeCell ref="Z1:AA1"/>
    <mergeCell ref="AE1:AF2"/>
  </mergeCells>
  <dataValidations count="1">
    <dataValidation type="list" operator="equal" allowBlank="1" showErrorMessage="1" sqref="K7:K10">
      <formula1>"SI,NO"</formula1>
      <formula2>0</formula2>
    </dataValidation>
  </dataValidations>
  <pageMargins left="0.31527777777777799" right="0.39374999999999999" top="0.74791666666666701" bottom="0.47222222222222199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equal" allowBlank="1" showErrorMessage="1">
          <x14:formula1>
            <xm:f>'1.DATOS'!$H$10:$H$11</xm:f>
          </x14:formula1>
          <x14:formula2>
            <xm:f>0</xm:f>
          </x14:formula2>
          <xm:sqref>D7:D9</xm:sqref>
        </x14:dataValidation>
        <x14:dataValidation type="list" operator="equal" allowBlank="1" showErrorMessage="1">
          <x14:formula1>
            <xm:f>'1.DATOS'!$G$14</xm:f>
          </x14:formula1>
          <x14:formula2>
            <xm:f>0</xm:f>
          </x14:formula2>
          <xm:sqref>G7:G9</xm:sqref>
        </x14:dataValidation>
        <x14:dataValidation type="list" operator="equal" allowBlank="1" showErrorMessage="1">
          <x14:formula1>
            <xm:f>'1.DATOS'!$H$13:$H$16</xm:f>
          </x14:formula1>
          <x14:formula2>
            <xm:f>0</xm:f>
          </x14:formula2>
          <xm:sqref>H7:H9</xm:sqref>
        </x14:dataValidation>
        <x14:dataValidation type="list" operator="equal" allowBlank="1" showErrorMessage="1">
          <x14:formula1>
            <xm:f>'2.CARGOS-SALARIOS'!$I$13:$I$41</xm:f>
          </x14:formula1>
          <x14:formula2>
            <xm:f>0</xm:f>
          </x14:formula2>
          <xm:sqref>I7:I9</xm:sqref>
        </x14:dataValidation>
        <x14:dataValidation type="list" operator="equal" allowBlank="1" showErrorMessage="1">
          <x14:formula1>
            <xm:f>'2.CARGOS-SALARIOS'!$J$13:$J$21</xm:f>
          </x14:formula1>
          <x14:formula2>
            <xm:f>0</xm:f>
          </x14:formula2>
          <xm:sqref>J7:J9</xm:sqref>
        </x14:dataValidation>
        <x14:dataValidation type="list" operator="equal" allowBlank="1" showErrorMessage="1">
          <x14:formula1>
            <xm:f>'1.DATOS'!$C$15:$C$22</xm:f>
          </x14:formula1>
          <x14:formula2>
            <xm:f>0</xm:f>
          </x14:formula2>
          <xm:sqref>Y7:Y9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showGridLines="0" topLeftCell="E7" zoomScale="60" zoomScaleNormal="60" workbookViewId="0">
      <selection activeCell="O14" sqref="O14"/>
    </sheetView>
  </sheetViews>
  <sheetFormatPr baseColWidth="10" defaultColWidth="9.140625" defaultRowHeight="12.75" x14ac:dyDescent="0.2"/>
  <cols>
    <col min="1" max="1" width="7.85546875" style="115" customWidth="1"/>
    <col min="2" max="2" width="15.5703125" style="115" customWidth="1"/>
    <col min="3" max="4" width="19.42578125" style="115" customWidth="1"/>
    <col min="5" max="5" width="17.5703125" style="115" customWidth="1"/>
    <col min="6" max="6" width="12.28515625" style="115" customWidth="1"/>
    <col min="7" max="7" width="26.85546875" customWidth="1"/>
    <col min="8" max="8" width="21.42578125" customWidth="1"/>
    <col min="9" max="9" width="23.140625" customWidth="1"/>
    <col min="10" max="10" width="20.42578125" customWidth="1"/>
    <col min="11" max="19" width="15.28515625" customWidth="1"/>
    <col min="20" max="20" width="19.5703125" customWidth="1"/>
    <col min="21" max="21" width="14.85546875" customWidth="1"/>
    <col min="22" max="24" width="15.28515625" customWidth="1"/>
    <col min="25" max="30" width="11.85546875" customWidth="1"/>
    <col min="31" max="31" width="13.28515625" style="167" customWidth="1"/>
    <col min="32" max="38" width="12.140625" style="167" customWidth="1"/>
    <col min="39" max="39" width="15.7109375" style="167" customWidth="1"/>
    <col min="40" max="43" width="12.42578125" style="167" customWidth="1"/>
    <col min="44" max="45" width="12.42578125" customWidth="1"/>
    <col min="46" max="46" width="20.140625" customWidth="1"/>
    <col min="47" max="62" width="12.42578125" customWidth="1"/>
    <col min="63" max="63" width="13.7109375" customWidth="1"/>
    <col min="64" max="64" width="13.42578125" customWidth="1"/>
    <col min="65" max="1025" width="8.42578125" customWidth="1"/>
  </cols>
  <sheetData>
    <row r="1" spans="1:64" x14ac:dyDescent="0.2">
      <c r="A1"/>
      <c r="B1"/>
      <c r="C1"/>
      <c r="D1"/>
      <c r="E1"/>
      <c r="F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64" ht="30.2" customHeight="1" x14ac:dyDescent="0.3">
      <c r="A2" s="117" t="s">
        <v>0</v>
      </c>
      <c r="B2" s="117"/>
      <c r="C2" s="118" t="e">
        <f>#REF!</f>
        <v>#REF!</v>
      </c>
      <c r="D2" s="117"/>
      <c r="E2" s="117"/>
      <c r="F2" s="117"/>
      <c r="G2" s="119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64" ht="30.2" customHeight="1" x14ac:dyDescent="0.3">
      <c r="A3" s="117" t="s">
        <v>2</v>
      </c>
      <c r="B3" s="117"/>
      <c r="C3" s="118" t="e">
        <f>#REF!</f>
        <v>#REF!</v>
      </c>
      <c r="D3" s="117"/>
      <c r="E3" s="117"/>
      <c r="F3" s="117"/>
      <c r="G3" s="119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64" x14ac:dyDescent="0.2">
      <c r="A4"/>
      <c r="B4"/>
      <c r="C4"/>
      <c r="D4"/>
      <c r="E4"/>
      <c r="F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64" ht="18" customHeight="1" x14ac:dyDescent="0.2">
      <c r="A5"/>
      <c r="B5"/>
      <c r="C5"/>
      <c r="D5"/>
      <c r="E5"/>
      <c r="F5"/>
      <c r="H5" s="223" t="e">
        <f>"MAQUETA DE"&amp;" "&amp;#REF!</f>
        <v>#REF!</v>
      </c>
      <c r="I5" s="120" t="s">
        <v>51</v>
      </c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64" ht="29.25" customHeight="1" x14ac:dyDescent="0.3">
      <c r="A6" s="121" t="s">
        <v>399</v>
      </c>
      <c r="B6" s="121"/>
      <c r="C6" s="121"/>
      <c r="D6" s="121"/>
      <c r="E6" s="121"/>
      <c r="F6" s="121"/>
      <c r="H6" s="223"/>
      <c r="I6" s="122" t="e">
        <f>VLOOKUP(#REF!,#REF!,2,0)</f>
        <v>#REF!</v>
      </c>
      <c r="AE6" s="123"/>
      <c r="AF6" s="123"/>
      <c r="AG6" s="123"/>
      <c r="AH6" s="123"/>
      <c r="AI6" s="123" t="s">
        <v>251</v>
      </c>
      <c r="AJ6" s="123" t="s">
        <v>251</v>
      </c>
      <c r="AK6" s="123"/>
      <c r="AL6" s="123"/>
      <c r="AM6" s="126"/>
      <c r="AN6" s="126"/>
      <c r="AO6" s="123"/>
      <c r="AP6" s="123"/>
      <c r="AQ6" s="123"/>
      <c r="AR6" s="125">
        <v>0</v>
      </c>
      <c r="AS6" s="125">
        <v>0</v>
      </c>
      <c r="AT6" s="125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09"/>
    </row>
    <row r="7" spans="1:64" ht="39.75" customHeight="1" x14ac:dyDescent="0.2">
      <c r="A7"/>
      <c r="B7"/>
      <c r="C7"/>
      <c r="D7"/>
      <c r="E7"/>
      <c r="F7"/>
      <c r="AE7" s="224" t="s">
        <v>252</v>
      </c>
      <c r="AF7" s="224"/>
      <c r="AG7" s="224"/>
      <c r="AH7" s="224"/>
      <c r="AI7" s="225" t="s">
        <v>253</v>
      </c>
      <c r="AJ7" s="225"/>
      <c r="AK7" s="225"/>
      <c r="AL7" s="225"/>
      <c r="AM7" s="228" t="s">
        <v>256</v>
      </c>
      <c r="AN7" s="228"/>
      <c r="AO7" s="228"/>
      <c r="AP7" s="228"/>
      <c r="AQ7" s="228"/>
      <c r="AR7" s="229" t="s">
        <v>12</v>
      </c>
      <c r="AS7" s="229"/>
      <c r="AT7" s="229"/>
      <c r="AU7" s="229"/>
      <c r="AV7" s="230" t="s">
        <v>164</v>
      </c>
      <c r="AW7" s="230"/>
      <c r="AX7" s="230"/>
      <c r="AY7" s="230"/>
      <c r="AZ7" s="230"/>
      <c r="BA7" s="230"/>
      <c r="BB7" s="230"/>
      <c r="BC7" s="231" t="s">
        <v>165</v>
      </c>
      <c r="BD7" s="231"/>
      <c r="BE7" s="231"/>
      <c r="BF7" s="231"/>
      <c r="BG7" s="231"/>
      <c r="BH7" s="231"/>
      <c r="BI7" s="231"/>
      <c r="BJ7" s="231"/>
      <c r="BK7" s="232" t="s">
        <v>257</v>
      </c>
    </row>
    <row r="8" spans="1:64" ht="26.45" customHeight="1" x14ac:dyDescent="0.2">
      <c r="A8" s="233" t="s">
        <v>258</v>
      </c>
      <c r="B8" s="233"/>
      <c r="C8" s="233"/>
      <c r="D8" s="233"/>
      <c r="E8" s="233"/>
      <c r="F8" s="233"/>
      <c r="G8" s="233"/>
      <c r="H8" s="233"/>
      <c r="I8" s="233"/>
      <c r="J8" s="233"/>
      <c r="K8" s="234" t="s">
        <v>157</v>
      </c>
      <c r="L8" s="234"/>
      <c r="M8" s="234"/>
      <c r="N8" s="235" t="s">
        <v>259</v>
      </c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127">
        <v>1</v>
      </c>
      <c r="AF8" s="127">
        <v>2</v>
      </c>
      <c r="AG8" s="127">
        <v>3</v>
      </c>
      <c r="AH8" s="127">
        <v>4</v>
      </c>
      <c r="AI8" s="128">
        <v>1</v>
      </c>
      <c r="AJ8" s="128">
        <v>2</v>
      </c>
      <c r="AK8" s="128">
        <v>3</v>
      </c>
      <c r="AL8" s="128">
        <v>4</v>
      </c>
      <c r="AM8" s="132">
        <v>1</v>
      </c>
      <c r="AN8" s="132">
        <v>2</v>
      </c>
      <c r="AO8" s="132">
        <v>3</v>
      </c>
      <c r="AP8" s="132">
        <v>4</v>
      </c>
      <c r="AQ8" s="132">
        <v>5</v>
      </c>
      <c r="AR8" s="172">
        <v>1</v>
      </c>
      <c r="AS8" s="172">
        <v>2</v>
      </c>
      <c r="AT8" s="133">
        <v>3</v>
      </c>
      <c r="AU8" s="172">
        <v>4</v>
      </c>
      <c r="AV8" s="134">
        <v>1</v>
      </c>
      <c r="AW8" s="134">
        <v>2</v>
      </c>
      <c r="AX8" s="134">
        <v>3</v>
      </c>
      <c r="AY8" s="134">
        <v>4</v>
      </c>
      <c r="AZ8" s="135">
        <v>5</v>
      </c>
      <c r="BA8" s="134">
        <v>6</v>
      </c>
      <c r="BB8" s="135">
        <v>7</v>
      </c>
      <c r="BC8" s="136">
        <v>1</v>
      </c>
      <c r="BD8" s="136">
        <v>2</v>
      </c>
      <c r="BE8" s="136">
        <v>3</v>
      </c>
      <c r="BF8" s="136">
        <v>4</v>
      </c>
      <c r="BG8" s="136">
        <v>5</v>
      </c>
      <c r="BH8" s="136">
        <v>6</v>
      </c>
      <c r="BI8" s="136">
        <v>7</v>
      </c>
      <c r="BJ8" s="136">
        <v>8</v>
      </c>
      <c r="BK8" s="232"/>
    </row>
    <row r="9" spans="1:64" ht="81.75" customHeight="1" x14ac:dyDescent="0.2">
      <c r="A9" s="137" t="s">
        <v>98</v>
      </c>
      <c r="B9" s="137" t="s">
        <v>166</v>
      </c>
      <c r="C9" s="137" t="s">
        <v>167</v>
      </c>
      <c r="D9" s="137" t="s">
        <v>168</v>
      </c>
      <c r="E9" s="140" t="s">
        <v>400</v>
      </c>
      <c r="F9" s="137" t="s">
        <v>19</v>
      </c>
      <c r="G9" s="139" t="s">
        <v>170</v>
      </c>
      <c r="H9" s="137" t="s">
        <v>99</v>
      </c>
      <c r="I9" s="137" t="s">
        <v>171</v>
      </c>
      <c r="J9" s="137" t="s">
        <v>401</v>
      </c>
      <c r="K9" s="140" t="s">
        <v>402</v>
      </c>
      <c r="L9" s="140" t="s">
        <v>262</v>
      </c>
      <c r="M9" s="140" t="s">
        <v>178</v>
      </c>
      <c r="N9" s="140" t="s">
        <v>263</v>
      </c>
      <c r="O9" s="140" t="s">
        <v>183</v>
      </c>
      <c r="P9" s="140" t="s">
        <v>264</v>
      </c>
      <c r="Q9" s="140" t="s">
        <v>184</v>
      </c>
      <c r="R9" s="140" t="s">
        <v>265</v>
      </c>
      <c r="S9" s="140" t="s">
        <v>266</v>
      </c>
      <c r="T9" s="140" t="s">
        <v>267</v>
      </c>
      <c r="U9" s="140" t="s">
        <v>268</v>
      </c>
      <c r="V9" s="140" t="s">
        <v>269</v>
      </c>
      <c r="W9" s="140" t="s">
        <v>270</v>
      </c>
      <c r="X9" s="140" t="s">
        <v>181</v>
      </c>
      <c r="Y9" s="140" t="s">
        <v>271</v>
      </c>
      <c r="Z9" s="140" t="s">
        <v>271</v>
      </c>
      <c r="AA9" s="140" t="s">
        <v>271</v>
      </c>
      <c r="AB9" s="140" t="s">
        <v>271</v>
      </c>
      <c r="AC9" s="140" t="s">
        <v>271</v>
      </c>
      <c r="AD9" s="140" t="s">
        <v>271</v>
      </c>
      <c r="AE9" s="142" t="s">
        <v>403</v>
      </c>
      <c r="AF9" s="142" t="s">
        <v>404</v>
      </c>
      <c r="AG9" s="142" t="s">
        <v>287</v>
      </c>
      <c r="AH9" s="142" t="s">
        <v>288</v>
      </c>
      <c r="AI9" s="142" t="s">
        <v>405</v>
      </c>
      <c r="AJ9" s="142" t="s">
        <v>406</v>
      </c>
      <c r="AK9" s="142" t="s">
        <v>287</v>
      </c>
      <c r="AL9" s="142" t="s">
        <v>288</v>
      </c>
      <c r="AM9" s="142" t="s">
        <v>285</v>
      </c>
      <c r="AN9" s="142" t="s">
        <v>286</v>
      </c>
      <c r="AO9" s="142" t="s">
        <v>287</v>
      </c>
      <c r="AP9" s="142" t="s">
        <v>288</v>
      </c>
      <c r="AQ9" s="142" t="s">
        <v>296</v>
      </c>
      <c r="AR9" s="142" t="s">
        <v>384</v>
      </c>
      <c r="AS9" s="142" t="s">
        <v>407</v>
      </c>
      <c r="AT9" s="142" t="s">
        <v>408</v>
      </c>
      <c r="AU9" s="142" t="s">
        <v>288</v>
      </c>
      <c r="AV9" s="142" t="s">
        <v>285</v>
      </c>
      <c r="AW9" s="142" t="s">
        <v>286</v>
      </c>
      <c r="AX9" s="142" t="s">
        <v>287</v>
      </c>
      <c r="AY9" s="142" t="s">
        <v>288</v>
      </c>
      <c r="AZ9" s="142" t="s">
        <v>296</v>
      </c>
      <c r="BA9" s="142" t="s">
        <v>301</v>
      </c>
      <c r="BB9" s="142" t="s">
        <v>302</v>
      </c>
      <c r="BC9" s="142" t="s">
        <v>285</v>
      </c>
      <c r="BD9" s="142" t="s">
        <v>286</v>
      </c>
      <c r="BE9" s="142" t="s">
        <v>287</v>
      </c>
      <c r="BF9" s="142" t="s">
        <v>288</v>
      </c>
      <c r="BG9" s="142" t="s">
        <v>296</v>
      </c>
      <c r="BH9" s="142" t="s">
        <v>301</v>
      </c>
      <c r="BI9" s="142" t="s">
        <v>302</v>
      </c>
      <c r="BJ9" s="142" t="s">
        <v>303</v>
      </c>
      <c r="BK9" s="143" t="s">
        <v>304</v>
      </c>
    </row>
    <row r="10" spans="1:64" ht="22.7" customHeight="1" x14ac:dyDescent="0.2">
      <c r="A10" s="236" t="s">
        <v>229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144" t="s">
        <v>409</v>
      </c>
      <c r="AF10" s="144" t="s">
        <v>410</v>
      </c>
      <c r="AG10" s="144"/>
      <c r="AH10" s="144"/>
      <c r="AI10" s="144" t="s">
        <v>411</v>
      </c>
      <c r="AJ10" s="144" t="s">
        <v>412</v>
      </c>
      <c r="AK10" s="144"/>
      <c r="AL10" s="144"/>
      <c r="AM10" s="144"/>
      <c r="AN10" s="144"/>
      <c r="AO10" s="144"/>
      <c r="AP10" s="144"/>
      <c r="AQ10" s="144"/>
      <c r="AR10" s="144" t="s">
        <v>413</v>
      </c>
      <c r="AS10" s="144" t="s">
        <v>414</v>
      </c>
      <c r="AT10" s="144" t="s">
        <v>415</v>
      </c>
      <c r="AU10" s="144"/>
      <c r="AV10" s="144" t="s">
        <v>241</v>
      </c>
      <c r="AW10" s="144" t="s">
        <v>242</v>
      </c>
      <c r="AX10" s="144" t="s">
        <v>243</v>
      </c>
      <c r="AY10" s="144" t="s">
        <v>244</v>
      </c>
      <c r="AZ10" s="144" t="s">
        <v>245</v>
      </c>
      <c r="BA10" s="144" t="s">
        <v>246</v>
      </c>
      <c r="BB10" s="144" t="s">
        <v>247</v>
      </c>
      <c r="BC10" s="144" t="s">
        <v>248</v>
      </c>
      <c r="BD10" s="144" t="s">
        <v>248</v>
      </c>
      <c r="BE10" s="144" t="s">
        <v>248</v>
      </c>
      <c r="BF10" s="144" t="s">
        <v>248</v>
      </c>
      <c r="BG10" s="144" t="s">
        <v>248</v>
      </c>
      <c r="BH10" s="144" t="s">
        <v>248</v>
      </c>
      <c r="BI10" s="144" t="s">
        <v>248</v>
      </c>
      <c r="BJ10" s="144" t="s">
        <v>248</v>
      </c>
      <c r="BK10" s="145"/>
    </row>
    <row r="11" spans="1:64" ht="16.5" customHeight="1" x14ac:dyDescent="0.25">
      <c r="A11" s="146">
        <v>1</v>
      </c>
      <c r="B11" s="173"/>
      <c r="C11" s="149"/>
      <c r="D11" s="149"/>
      <c r="E11" s="174"/>
      <c r="F11" s="149" t="s">
        <v>30</v>
      </c>
      <c r="G11" s="175" t="s">
        <v>416</v>
      </c>
      <c r="H11" s="176"/>
      <c r="I11" s="151"/>
      <c r="J11" s="154"/>
      <c r="K11" s="155">
        <f>IF('NOMINA DETALLE PENSIONADOS'!E11&gt;0,INT(YEARFRAC('NOMINA DETALLE PENSIONADOS'!E11,'NOMINA DETALLE PENSIONADOS'!$I$6)),0)</f>
        <v>0</v>
      </c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4">
        <f>IF('NOMINA DETALLE PENSIONADOS'!H11="ALTO NIVEL",0,IF(AND('NOMINA DETALLE PENSIONADOS'!J11&gt;0,'NOMINA DETALLE PENSIONADOS'!E11&gt;0),'NOMINA DETALLE PENSIONADOS'!J11,0))</f>
        <v>0</v>
      </c>
      <c r="AF11" s="154">
        <f>IF(AND('NOMINA DETALLE PENSIONADOS'!E11&gt;0,'NOMINA DETALLE PENSIONADOS'!H11="ALTO NIVEL",'NOMINA DETALLE PENSIONADOS'!J11&gt;0),'NOMINA DETALLE PENSIONADOS'!J11,0)</f>
        <v>0</v>
      </c>
      <c r="AG11" s="154">
        <v>0</v>
      </c>
      <c r="AH11" s="154">
        <v>0</v>
      </c>
      <c r="AI11" s="154">
        <v>0</v>
      </c>
      <c r="AJ11" s="154">
        <v>0</v>
      </c>
      <c r="AK11" s="177">
        <v>0</v>
      </c>
      <c r="AL11" s="177">
        <v>0</v>
      </c>
      <c r="AM11" s="177">
        <v>0</v>
      </c>
      <c r="AN11" s="177">
        <v>0</v>
      </c>
      <c r="AO11" s="177">
        <v>0</v>
      </c>
      <c r="AP11" s="177">
        <v>0</v>
      </c>
      <c r="AQ11" s="177">
        <v>0</v>
      </c>
      <c r="AR11" s="154">
        <f>IF('NOMINA DETALLE PENSIONADOS'!H11&lt;&gt;"ALTO NIVEL",IF('NOMINA DETALLE PENSIONADOS'!AE11&gt;0,ROUND(SUM('NOMINA DETALLE PENSIONADOS'!AE11:AF11)*'NOMINA DETALLE PENSIONADOS'!$AR$6,0),0),0)</f>
        <v>0</v>
      </c>
      <c r="AS11" s="154">
        <f>IF('NOMINA DETALLE PENSIONADOS'!H11="ALTO NIVEL",IF('NOMINA DETALLE PENSIONADOS'!AF11&gt;0,ROUND(SUM('NOMINA DETALLE PENSIONADOS'!AE11:AF11)*'NOMINA DETALLE PENSIONADOS'!$AS$6,0),0),0)</f>
        <v>0</v>
      </c>
      <c r="AT11" s="177">
        <v>0</v>
      </c>
      <c r="AU11" s="154">
        <v>0</v>
      </c>
      <c r="AV11" s="154">
        <v>0</v>
      </c>
      <c r="AW11" s="154">
        <v>0</v>
      </c>
      <c r="AX11" s="154">
        <v>0</v>
      </c>
      <c r="AY11" s="154">
        <v>0</v>
      </c>
      <c r="AZ11" s="177">
        <v>0</v>
      </c>
      <c r="BA11" s="177">
        <v>0</v>
      </c>
      <c r="BB11" s="177">
        <v>0</v>
      </c>
      <c r="BC11" s="177">
        <v>0</v>
      </c>
      <c r="BD11" s="177">
        <v>0</v>
      </c>
      <c r="BE11" s="177">
        <v>0</v>
      </c>
      <c r="BF11" s="177">
        <v>0</v>
      </c>
      <c r="BG11" s="177">
        <v>0</v>
      </c>
      <c r="BH11" s="177">
        <v>0</v>
      </c>
      <c r="BI11" s="177">
        <v>0</v>
      </c>
      <c r="BJ11" s="154">
        <v>0</v>
      </c>
      <c r="BK11" s="157">
        <f>SUM('NOMINA DETALLE PENSIONADOS'!AE11:BJ11)</f>
        <v>0</v>
      </c>
      <c r="BL11" s="158"/>
    </row>
    <row r="12" spans="1:64" ht="16.5" customHeight="1" x14ac:dyDescent="0.25">
      <c r="A12" s="178">
        <f>'NOMINA DETALLE PENSIONADOS'!A11+1</f>
        <v>2</v>
      </c>
      <c r="B12" s="179"/>
      <c r="C12" s="180"/>
      <c r="D12" s="180"/>
      <c r="E12" s="149"/>
      <c r="F12" s="149" t="s">
        <v>30</v>
      </c>
      <c r="G12" s="175" t="s">
        <v>416</v>
      </c>
      <c r="H12" s="152"/>
      <c r="I12" s="152"/>
      <c r="J12" s="181"/>
      <c r="K12" s="155">
        <f>IF('NOMINA DETALLE PENSIONADOS'!E12&gt;0,INT(YEARFRAC('NOMINA DETALLE PENSIONADOS'!E12,'NOMINA DETALLE PENSIONADOS'!$I$6)),0)</f>
        <v>0</v>
      </c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54">
        <f>IF('NOMINA DETALLE PENSIONADOS'!H12="ALTO NIVEL",0,IF(AND('NOMINA DETALLE PENSIONADOS'!J12&gt;0,'NOMINA DETALLE PENSIONADOS'!E12&gt;0),'NOMINA DETALLE PENSIONADOS'!J12,0))</f>
        <v>0</v>
      </c>
      <c r="AF12" s="154">
        <f>IF(AND('NOMINA DETALLE PENSIONADOS'!E12&gt;0,'NOMINA DETALLE PENSIONADOS'!H12="ALTO NIVEL",'NOMINA DETALLE PENSIONADOS'!J12&gt;0),'NOMINA DETALLE PENSIONADOS'!J12,0)</f>
        <v>0</v>
      </c>
      <c r="AG12" s="177">
        <v>0</v>
      </c>
      <c r="AH12" s="177">
        <v>0</v>
      </c>
      <c r="AI12" s="154">
        <v>0</v>
      </c>
      <c r="AJ12" s="154">
        <v>0</v>
      </c>
      <c r="AK12" s="177">
        <v>0</v>
      </c>
      <c r="AL12" s="177">
        <v>0</v>
      </c>
      <c r="AM12" s="177">
        <v>0</v>
      </c>
      <c r="AN12" s="177">
        <v>0</v>
      </c>
      <c r="AO12" s="177">
        <v>0</v>
      </c>
      <c r="AP12" s="177">
        <v>0</v>
      </c>
      <c r="AQ12" s="177">
        <v>0</v>
      </c>
      <c r="AR12" s="154">
        <f>IF('NOMINA DETALLE PENSIONADOS'!H12&lt;&gt;"ALTO NIVEL",IF('NOMINA DETALLE PENSIONADOS'!AE12&gt;0,ROUND(SUM('NOMINA DETALLE PENSIONADOS'!AE12:AF12)*'NOMINA DETALLE PENSIONADOS'!$AR$6,0),0),0)</f>
        <v>0</v>
      </c>
      <c r="AS12" s="154">
        <f>IF('NOMINA DETALLE PENSIONADOS'!H12="ALTO NIVEL",IF('NOMINA DETALLE PENSIONADOS'!AF12&gt;0,ROUND(SUM('NOMINA DETALLE PENSIONADOS'!AE12:AF12)*'NOMINA DETALLE PENSIONADOS'!$AS$6,0),0),0)</f>
        <v>0</v>
      </c>
      <c r="AT12" s="177">
        <v>0</v>
      </c>
      <c r="AU12" s="177">
        <v>0</v>
      </c>
      <c r="AV12" s="177">
        <v>0</v>
      </c>
      <c r="AW12" s="177">
        <v>0</v>
      </c>
      <c r="AX12" s="177">
        <v>0</v>
      </c>
      <c r="AY12" s="177">
        <v>0</v>
      </c>
      <c r="AZ12" s="177">
        <v>0</v>
      </c>
      <c r="BA12" s="177">
        <v>0</v>
      </c>
      <c r="BB12" s="177">
        <v>0</v>
      </c>
      <c r="BC12" s="177">
        <v>0</v>
      </c>
      <c r="BD12" s="177">
        <v>0</v>
      </c>
      <c r="BE12" s="177">
        <v>0</v>
      </c>
      <c r="BF12" s="177">
        <v>0</v>
      </c>
      <c r="BG12" s="177">
        <v>0</v>
      </c>
      <c r="BH12" s="177">
        <v>0</v>
      </c>
      <c r="BI12" s="177">
        <v>0</v>
      </c>
      <c r="BJ12" s="177">
        <v>0</v>
      </c>
      <c r="BK12" s="183">
        <f>SUM('NOMINA DETALLE PENSIONADOS'!AE12:BJ12)</f>
        <v>0</v>
      </c>
      <c r="BL12" s="158"/>
    </row>
    <row r="13" spans="1:64" ht="16.5" customHeight="1" x14ac:dyDescent="0.25">
      <c r="A13" s="178">
        <f>'NOMINA DETALLE PENSIONADOS'!A12+1</f>
        <v>3</v>
      </c>
      <c r="B13" s="179"/>
      <c r="C13" s="180"/>
      <c r="D13" s="180"/>
      <c r="E13" s="149"/>
      <c r="F13" s="149" t="s">
        <v>30</v>
      </c>
      <c r="G13" s="175" t="s">
        <v>416</v>
      </c>
      <c r="H13" s="152"/>
      <c r="I13" s="152"/>
      <c r="J13" s="181"/>
      <c r="K13" s="155">
        <f>IF('NOMINA DETALLE PENSIONADOS'!E13&gt;0,INT(YEARFRAC('NOMINA DETALLE PENSIONADOS'!E13,'NOMINA DETALLE PENSIONADOS'!$I$6)),0)</f>
        <v>0</v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54">
        <f>IF('NOMINA DETALLE PENSIONADOS'!H13="ALTO NIVEL",0,IF(AND('NOMINA DETALLE PENSIONADOS'!J13&gt;0,'NOMINA DETALLE PENSIONADOS'!E13&gt;0),'NOMINA DETALLE PENSIONADOS'!J13,0))</f>
        <v>0</v>
      </c>
      <c r="AF13" s="154">
        <f>IF(AND('NOMINA DETALLE PENSIONADOS'!E13&gt;0,'NOMINA DETALLE PENSIONADOS'!H13="ALTO NIVEL",'NOMINA DETALLE PENSIONADOS'!J13&gt;0),'NOMINA DETALLE PENSIONADOS'!J13,0)</f>
        <v>0</v>
      </c>
      <c r="AG13" s="177">
        <v>0</v>
      </c>
      <c r="AH13" s="177">
        <v>0</v>
      </c>
      <c r="AI13" s="154">
        <v>0</v>
      </c>
      <c r="AJ13" s="154">
        <v>0</v>
      </c>
      <c r="AK13" s="177">
        <v>0</v>
      </c>
      <c r="AL13" s="177">
        <v>0</v>
      </c>
      <c r="AM13" s="177">
        <v>0</v>
      </c>
      <c r="AN13" s="177">
        <v>0</v>
      </c>
      <c r="AO13" s="177">
        <v>0</v>
      </c>
      <c r="AP13" s="177">
        <v>0</v>
      </c>
      <c r="AQ13" s="177">
        <v>0</v>
      </c>
      <c r="AR13" s="154">
        <f>IF('NOMINA DETALLE PENSIONADOS'!H13&lt;&gt;"ALTO NIVEL",IF('NOMINA DETALLE PENSIONADOS'!AE13&gt;0,ROUND(SUM('NOMINA DETALLE PENSIONADOS'!AE13:AF13)*'NOMINA DETALLE PENSIONADOS'!$AR$6,0),0),0)</f>
        <v>0</v>
      </c>
      <c r="AS13" s="154">
        <f>IF('NOMINA DETALLE PENSIONADOS'!H13="ALTO NIVEL",IF('NOMINA DETALLE PENSIONADOS'!AF13&gt;0,ROUND(SUM('NOMINA DETALLE PENSIONADOS'!AE13:AF13)*'NOMINA DETALLE PENSIONADOS'!$AS$6,0),0),0)</f>
        <v>0</v>
      </c>
      <c r="AT13" s="177">
        <v>0</v>
      </c>
      <c r="AU13" s="177">
        <v>0</v>
      </c>
      <c r="AV13" s="177">
        <v>0</v>
      </c>
      <c r="AW13" s="177">
        <v>0</v>
      </c>
      <c r="AX13" s="177">
        <v>0</v>
      </c>
      <c r="AY13" s="177">
        <v>0</v>
      </c>
      <c r="AZ13" s="177">
        <v>0</v>
      </c>
      <c r="BA13" s="177">
        <v>0</v>
      </c>
      <c r="BB13" s="177">
        <v>0</v>
      </c>
      <c r="BC13" s="177">
        <v>0</v>
      </c>
      <c r="BD13" s="177">
        <v>0</v>
      </c>
      <c r="BE13" s="177">
        <v>0</v>
      </c>
      <c r="BF13" s="177">
        <v>0</v>
      </c>
      <c r="BG13" s="177">
        <v>0</v>
      </c>
      <c r="BH13" s="177">
        <v>0</v>
      </c>
      <c r="BI13" s="177">
        <v>0</v>
      </c>
      <c r="BJ13" s="177">
        <v>0</v>
      </c>
      <c r="BK13" s="183">
        <f>SUM('NOMINA DETALLE PENSIONADOS'!AE13:BJ13)</f>
        <v>0</v>
      </c>
      <c r="BL13" s="158"/>
    </row>
    <row r="14" spans="1:64" ht="16.5" customHeight="1" x14ac:dyDescent="0.25">
      <c r="A14" s="178">
        <f>'NOMINA DETALLE PENSIONADOS'!A13+1</f>
        <v>4</v>
      </c>
      <c r="B14" s="179"/>
      <c r="C14" s="180"/>
      <c r="D14" s="180"/>
      <c r="E14" s="149"/>
      <c r="F14" s="149" t="s">
        <v>30</v>
      </c>
      <c r="G14" s="175" t="s">
        <v>416</v>
      </c>
      <c r="H14" s="152"/>
      <c r="I14" s="152"/>
      <c r="J14" s="181"/>
      <c r="K14" s="155">
        <f>IF('NOMINA DETALLE PENSIONADOS'!E14&gt;0,INT(YEARFRAC('NOMINA DETALLE PENSIONADOS'!E14,'NOMINA DETALLE PENSIONADOS'!$I$6)),0)</f>
        <v>0</v>
      </c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54">
        <f>IF('NOMINA DETALLE PENSIONADOS'!H14="ALTO NIVEL",0,IF(AND('NOMINA DETALLE PENSIONADOS'!J14&gt;0,'NOMINA DETALLE PENSIONADOS'!E14&gt;0),'NOMINA DETALLE PENSIONADOS'!J14,0))</f>
        <v>0</v>
      </c>
      <c r="AF14" s="154">
        <f>IF(AND('NOMINA DETALLE PENSIONADOS'!E14&gt;0,'NOMINA DETALLE PENSIONADOS'!H14="ALTO NIVEL",'NOMINA DETALLE PENSIONADOS'!J14&gt;0),'NOMINA DETALLE PENSIONADOS'!J14,0)</f>
        <v>0</v>
      </c>
      <c r="AG14" s="177">
        <v>0</v>
      </c>
      <c r="AH14" s="177">
        <v>0</v>
      </c>
      <c r="AI14" s="154">
        <v>0</v>
      </c>
      <c r="AJ14" s="154">
        <v>0</v>
      </c>
      <c r="AK14" s="177">
        <v>0</v>
      </c>
      <c r="AL14" s="177">
        <v>0</v>
      </c>
      <c r="AM14" s="177">
        <v>0</v>
      </c>
      <c r="AN14" s="177">
        <v>0</v>
      </c>
      <c r="AO14" s="177">
        <v>0</v>
      </c>
      <c r="AP14" s="177">
        <v>0</v>
      </c>
      <c r="AQ14" s="177">
        <v>0</v>
      </c>
      <c r="AR14" s="154">
        <f>IF('NOMINA DETALLE PENSIONADOS'!H14&lt;&gt;"ALTO NIVEL",IF('NOMINA DETALLE PENSIONADOS'!AE14&gt;0,ROUND(SUM('NOMINA DETALLE PENSIONADOS'!AE14:AF14)*'NOMINA DETALLE PENSIONADOS'!$AR$6,0),0),0)</f>
        <v>0</v>
      </c>
      <c r="AS14" s="154">
        <f>IF('NOMINA DETALLE PENSIONADOS'!H14="ALTO NIVEL",IF('NOMINA DETALLE PENSIONADOS'!AF14&gt;0,ROUND(SUM('NOMINA DETALLE PENSIONADOS'!AE14:AF14)*'NOMINA DETALLE PENSIONADOS'!$AS$6,0),0),0)</f>
        <v>0</v>
      </c>
      <c r="AT14" s="177">
        <v>0</v>
      </c>
      <c r="AU14" s="177">
        <v>0</v>
      </c>
      <c r="AV14" s="177">
        <v>0</v>
      </c>
      <c r="AW14" s="177">
        <v>0</v>
      </c>
      <c r="AX14" s="177">
        <v>0</v>
      </c>
      <c r="AY14" s="177">
        <v>0</v>
      </c>
      <c r="AZ14" s="177">
        <v>0</v>
      </c>
      <c r="BA14" s="177">
        <v>0</v>
      </c>
      <c r="BB14" s="177">
        <v>0</v>
      </c>
      <c r="BC14" s="177">
        <v>0</v>
      </c>
      <c r="BD14" s="177">
        <v>0</v>
      </c>
      <c r="BE14" s="177">
        <v>0</v>
      </c>
      <c r="BF14" s="177">
        <v>0</v>
      </c>
      <c r="BG14" s="177">
        <v>0</v>
      </c>
      <c r="BH14" s="177">
        <v>0</v>
      </c>
      <c r="BI14" s="177">
        <v>0</v>
      </c>
      <c r="BJ14" s="177">
        <v>0</v>
      </c>
      <c r="BK14" s="183">
        <f>SUM('NOMINA DETALLE PENSIONADOS'!AE14:BJ14)</f>
        <v>0</v>
      </c>
      <c r="BL14" s="158"/>
    </row>
    <row r="15" spans="1:64" ht="16.5" customHeight="1" x14ac:dyDescent="0.25">
      <c r="A15" s="178">
        <f>'NOMINA DETALLE PENSIONADOS'!A14+1</f>
        <v>5</v>
      </c>
      <c r="B15" s="179"/>
      <c r="C15" s="180"/>
      <c r="D15" s="180"/>
      <c r="E15" s="149"/>
      <c r="F15" s="149" t="s">
        <v>30</v>
      </c>
      <c r="G15" s="175" t="s">
        <v>416</v>
      </c>
      <c r="H15" s="152"/>
      <c r="I15" s="152"/>
      <c r="J15" s="181"/>
      <c r="K15" s="155">
        <f>IF('NOMINA DETALLE PENSIONADOS'!E15&gt;0,INT(YEARFRAC('NOMINA DETALLE PENSIONADOS'!E15,'NOMINA DETALLE PENSIONADOS'!$I$6)),0)</f>
        <v>0</v>
      </c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54">
        <f>IF('NOMINA DETALLE PENSIONADOS'!H15="ALTO NIVEL",0,IF(AND('NOMINA DETALLE PENSIONADOS'!J15&gt;0,'NOMINA DETALLE PENSIONADOS'!E15&gt;0),'NOMINA DETALLE PENSIONADOS'!J15,0))</f>
        <v>0</v>
      </c>
      <c r="AF15" s="154">
        <f>IF(AND('NOMINA DETALLE PENSIONADOS'!E15&gt;0,'NOMINA DETALLE PENSIONADOS'!H15="ALTO NIVEL",'NOMINA DETALLE PENSIONADOS'!J15&gt;0),'NOMINA DETALLE PENSIONADOS'!J15,0)</f>
        <v>0</v>
      </c>
      <c r="AG15" s="177">
        <v>0</v>
      </c>
      <c r="AH15" s="177">
        <v>0</v>
      </c>
      <c r="AI15" s="154">
        <v>0</v>
      </c>
      <c r="AJ15" s="154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0</v>
      </c>
      <c r="AP15" s="177">
        <v>0</v>
      </c>
      <c r="AQ15" s="177">
        <v>0</v>
      </c>
      <c r="AR15" s="154">
        <f>IF('NOMINA DETALLE PENSIONADOS'!H15&lt;&gt;"ALTO NIVEL",IF('NOMINA DETALLE PENSIONADOS'!AE15&gt;0,ROUND(SUM('NOMINA DETALLE PENSIONADOS'!AE15:AF15)*'NOMINA DETALLE PENSIONADOS'!$AR$6,0),0),0)</f>
        <v>0</v>
      </c>
      <c r="AS15" s="154">
        <f>IF('NOMINA DETALLE PENSIONADOS'!H15="ALTO NIVEL",IF('NOMINA DETALLE PENSIONADOS'!AF15&gt;0,ROUND(SUM('NOMINA DETALLE PENSIONADOS'!AE15:AF15)*'NOMINA DETALLE PENSIONADOS'!$AS$6,0),0),0)</f>
        <v>0</v>
      </c>
      <c r="AT15" s="177">
        <v>0</v>
      </c>
      <c r="AU15" s="177">
        <v>0</v>
      </c>
      <c r="AV15" s="177">
        <v>0</v>
      </c>
      <c r="AW15" s="177">
        <v>0</v>
      </c>
      <c r="AX15" s="177">
        <v>0</v>
      </c>
      <c r="AY15" s="177">
        <v>0</v>
      </c>
      <c r="AZ15" s="177">
        <v>0</v>
      </c>
      <c r="BA15" s="177">
        <v>0</v>
      </c>
      <c r="BB15" s="177">
        <v>0</v>
      </c>
      <c r="BC15" s="177">
        <v>0</v>
      </c>
      <c r="BD15" s="177">
        <v>0</v>
      </c>
      <c r="BE15" s="177">
        <v>0</v>
      </c>
      <c r="BF15" s="177">
        <v>0</v>
      </c>
      <c r="BG15" s="177">
        <v>0</v>
      </c>
      <c r="BH15" s="177">
        <v>0</v>
      </c>
      <c r="BI15" s="177">
        <v>0</v>
      </c>
      <c r="BJ15" s="177">
        <v>0</v>
      </c>
      <c r="BK15" s="183">
        <f>SUM('NOMINA DETALLE PENSIONADOS'!AE15:BJ15)</f>
        <v>0</v>
      </c>
      <c r="BL15" s="158"/>
    </row>
    <row r="16" spans="1:64" ht="16.5" customHeight="1" x14ac:dyDescent="0.25">
      <c r="A16" s="178">
        <f>'NOMINA DETALLE PENSIONADOS'!A15+1</f>
        <v>6</v>
      </c>
      <c r="B16" s="179"/>
      <c r="C16" s="180"/>
      <c r="D16" s="180"/>
      <c r="E16" s="149"/>
      <c r="F16" s="149" t="s">
        <v>30</v>
      </c>
      <c r="G16" s="175" t="s">
        <v>416</v>
      </c>
      <c r="H16" s="152"/>
      <c r="I16" s="152"/>
      <c r="J16" s="181"/>
      <c r="K16" s="155">
        <f>IF('NOMINA DETALLE PENSIONADOS'!E16&gt;0,INT(YEARFRAC('NOMINA DETALLE PENSIONADOS'!E16,'NOMINA DETALLE PENSIONADOS'!$I$6)),0)</f>
        <v>0</v>
      </c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54">
        <f>IF('NOMINA DETALLE PENSIONADOS'!H16="ALTO NIVEL",0,IF(AND('NOMINA DETALLE PENSIONADOS'!J16&gt;0,'NOMINA DETALLE PENSIONADOS'!E16&gt;0),'NOMINA DETALLE PENSIONADOS'!J16,0))</f>
        <v>0</v>
      </c>
      <c r="AF16" s="154">
        <f>IF(AND('NOMINA DETALLE PENSIONADOS'!E16&gt;0,'NOMINA DETALLE PENSIONADOS'!H16="ALTO NIVEL",'NOMINA DETALLE PENSIONADOS'!J16&gt;0),'NOMINA DETALLE PENSIONADOS'!J16,0)</f>
        <v>0</v>
      </c>
      <c r="AG16" s="177">
        <v>0</v>
      </c>
      <c r="AH16" s="177">
        <v>0</v>
      </c>
      <c r="AI16" s="154">
        <v>0</v>
      </c>
      <c r="AJ16" s="154">
        <v>0</v>
      </c>
      <c r="AK16" s="177">
        <v>0</v>
      </c>
      <c r="AL16" s="177">
        <v>0</v>
      </c>
      <c r="AM16" s="177">
        <v>0</v>
      </c>
      <c r="AN16" s="177">
        <v>0</v>
      </c>
      <c r="AO16" s="177">
        <v>0</v>
      </c>
      <c r="AP16" s="177">
        <v>0</v>
      </c>
      <c r="AQ16" s="177">
        <v>0</v>
      </c>
      <c r="AR16" s="154">
        <f>IF('NOMINA DETALLE PENSIONADOS'!H16&lt;&gt;"ALTO NIVEL",IF('NOMINA DETALLE PENSIONADOS'!AE16&gt;0,ROUND(SUM('NOMINA DETALLE PENSIONADOS'!AE16:AF16)*'NOMINA DETALLE PENSIONADOS'!$AR$6,0),0),0)</f>
        <v>0</v>
      </c>
      <c r="AS16" s="154">
        <f>IF('NOMINA DETALLE PENSIONADOS'!H16="ALTO NIVEL",IF('NOMINA DETALLE PENSIONADOS'!AF16&gt;0,ROUND(SUM('NOMINA DETALLE PENSIONADOS'!AE16:AF16)*'NOMINA DETALLE PENSIONADOS'!$AS$6,0),0),0)</f>
        <v>0</v>
      </c>
      <c r="AT16" s="177">
        <v>0</v>
      </c>
      <c r="AU16" s="177">
        <v>0</v>
      </c>
      <c r="AV16" s="177">
        <v>0</v>
      </c>
      <c r="AW16" s="177">
        <v>0</v>
      </c>
      <c r="AX16" s="177">
        <v>0</v>
      </c>
      <c r="AY16" s="177">
        <v>0</v>
      </c>
      <c r="AZ16" s="177">
        <v>0</v>
      </c>
      <c r="BA16" s="177">
        <v>0</v>
      </c>
      <c r="BB16" s="177">
        <v>0</v>
      </c>
      <c r="BC16" s="177">
        <v>0</v>
      </c>
      <c r="BD16" s="177">
        <v>0</v>
      </c>
      <c r="BE16" s="177">
        <v>0</v>
      </c>
      <c r="BF16" s="177">
        <v>0</v>
      </c>
      <c r="BG16" s="177">
        <v>0</v>
      </c>
      <c r="BH16" s="177">
        <v>0</v>
      </c>
      <c r="BI16" s="177">
        <v>0</v>
      </c>
      <c r="BJ16" s="177">
        <v>0</v>
      </c>
      <c r="BK16" s="183">
        <f>SUM('NOMINA DETALLE PENSIONADOS'!AE16:BJ16)</f>
        <v>0</v>
      </c>
      <c r="BL16" s="158"/>
    </row>
    <row r="17" spans="1:64" ht="16.5" customHeight="1" x14ac:dyDescent="0.25">
      <c r="A17" s="178">
        <f>'NOMINA DETALLE PENSIONADOS'!A16+1</f>
        <v>7</v>
      </c>
      <c r="B17" s="179"/>
      <c r="C17" s="180"/>
      <c r="D17" s="180"/>
      <c r="E17" s="149"/>
      <c r="F17" s="149" t="s">
        <v>30</v>
      </c>
      <c r="G17" s="175" t="s">
        <v>416</v>
      </c>
      <c r="H17" s="152"/>
      <c r="I17" s="152"/>
      <c r="J17" s="181"/>
      <c r="K17" s="155">
        <f>IF('NOMINA DETALLE PENSIONADOS'!E17&gt;0,INT(YEARFRAC('NOMINA DETALLE PENSIONADOS'!E17,'NOMINA DETALLE PENSIONADOS'!$I$6)),0)</f>
        <v>0</v>
      </c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54">
        <f>IF('NOMINA DETALLE PENSIONADOS'!H17="ALTO NIVEL",0,IF(AND('NOMINA DETALLE PENSIONADOS'!J17&gt;0,'NOMINA DETALLE PENSIONADOS'!E17&gt;0),'NOMINA DETALLE PENSIONADOS'!J17,0))</f>
        <v>0</v>
      </c>
      <c r="AF17" s="154">
        <f>IF(AND('NOMINA DETALLE PENSIONADOS'!E17&gt;0,'NOMINA DETALLE PENSIONADOS'!H17="ALTO NIVEL",'NOMINA DETALLE PENSIONADOS'!J17&gt;0),'NOMINA DETALLE PENSIONADOS'!J17,0)</f>
        <v>0</v>
      </c>
      <c r="AG17" s="177">
        <v>0</v>
      </c>
      <c r="AH17" s="177">
        <v>0</v>
      </c>
      <c r="AI17" s="154">
        <v>0</v>
      </c>
      <c r="AJ17" s="154">
        <v>0</v>
      </c>
      <c r="AK17" s="177">
        <v>0</v>
      </c>
      <c r="AL17" s="177">
        <v>0</v>
      </c>
      <c r="AM17" s="177">
        <v>0</v>
      </c>
      <c r="AN17" s="177">
        <v>0</v>
      </c>
      <c r="AO17" s="177">
        <v>0</v>
      </c>
      <c r="AP17" s="177">
        <v>0</v>
      </c>
      <c r="AQ17" s="177">
        <v>0</v>
      </c>
      <c r="AR17" s="154">
        <f>IF('NOMINA DETALLE PENSIONADOS'!H17&lt;&gt;"ALTO NIVEL",IF('NOMINA DETALLE PENSIONADOS'!AE17&gt;0,ROUND(SUM('NOMINA DETALLE PENSIONADOS'!AE17:AF17)*'NOMINA DETALLE PENSIONADOS'!$AR$6,0),0),0)</f>
        <v>0</v>
      </c>
      <c r="AS17" s="154">
        <f>IF('NOMINA DETALLE PENSIONADOS'!H17="ALTO NIVEL",IF('NOMINA DETALLE PENSIONADOS'!AF17&gt;0,ROUND(SUM('NOMINA DETALLE PENSIONADOS'!AE17:AF17)*'NOMINA DETALLE PENSIONADOS'!$AS$6,0),0),0)</f>
        <v>0</v>
      </c>
      <c r="AT17" s="177">
        <v>0</v>
      </c>
      <c r="AU17" s="177">
        <v>0</v>
      </c>
      <c r="AV17" s="177">
        <v>0</v>
      </c>
      <c r="AW17" s="177">
        <v>0</v>
      </c>
      <c r="AX17" s="177">
        <v>0</v>
      </c>
      <c r="AY17" s="177">
        <v>0</v>
      </c>
      <c r="AZ17" s="177">
        <v>0</v>
      </c>
      <c r="BA17" s="177">
        <v>0</v>
      </c>
      <c r="BB17" s="177">
        <v>0</v>
      </c>
      <c r="BC17" s="177">
        <v>0</v>
      </c>
      <c r="BD17" s="177">
        <v>0</v>
      </c>
      <c r="BE17" s="177">
        <v>0</v>
      </c>
      <c r="BF17" s="177">
        <v>0</v>
      </c>
      <c r="BG17" s="177">
        <v>0</v>
      </c>
      <c r="BH17" s="177">
        <v>0</v>
      </c>
      <c r="BI17" s="177">
        <v>0</v>
      </c>
      <c r="BJ17" s="177">
        <v>0</v>
      </c>
      <c r="BK17" s="183">
        <f>SUM('NOMINA DETALLE PENSIONADOS'!AE17:BJ17)</f>
        <v>0</v>
      </c>
      <c r="BL17" s="158"/>
    </row>
    <row r="18" spans="1:64" ht="16.5" customHeight="1" x14ac:dyDescent="0.25">
      <c r="A18" s="178">
        <f>'NOMINA DETALLE PENSIONADOS'!A17+1</f>
        <v>8</v>
      </c>
      <c r="B18" s="179"/>
      <c r="C18" s="180"/>
      <c r="D18" s="180"/>
      <c r="E18" s="149"/>
      <c r="F18" s="149" t="s">
        <v>30</v>
      </c>
      <c r="G18" s="175" t="s">
        <v>416</v>
      </c>
      <c r="H18" s="152"/>
      <c r="I18" s="152"/>
      <c r="J18" s="181"/>
      <c r="K18" s="155">
        <f>IF('NOMINA DETALLE PENSIONADOS'!E18&gt;0,INT(YEARFRAC('NOMINA DETALLE PENSIONADOS'!E18,'NOMINA DETALLE PENSIONADOS'!$I$6)),0)</f>
        <v>0</v>
      </c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54">
        <f>IF('NOMINA DETALLE PENSIONADOS'!H18="ALTO NIVEL",0,IF(AND('NOMINA DETALLE PENSIONADOS'!J18&gt;0,'NOMINA DETALLE PENSIONADOS'!E18&gt;0),'NOMINA DETALLE PENSIONADOS'!J18,0))</f>
        <v>0</v>
      </c>
      <c r="AF18" s="154">
        <f>IF(AND('NOMINA DETALLE PENSIONADOS'!E18&gt;0,'NOMINA DETALLE PENSIONADOS'!H18="ALTO NIVEL",'NOMINA DETALLE PENSIONADOS'!J18&gt;0),'NOMINA DETALLE PENSIONADOS'!J18,0)</f>
        <v>0</v>
      </c>
      <c r="AG18" s="177">
        <v>0</v>
      </c>
      <c r="AH18" s="177">
        <v>0</v>
      </c>
      <c r="AI18" s="154">
        <v>0</v>
      </c>
      <c r="AJ18" s="154">
        <v>0</v>
      </c>
      <c r="AK18" s="177">
        <v>0</v>
      </c>
      <c r="AL18" s="177">
        <v>0</v>
      </c>
      <c r="AM18" s="177">
        <v>0</v>
      </c>
      <c r="AN18" s="177">
        <v>0</v>
      </c>
      <c r="AO18" s="177">
        <v>0</v>
      </c>
      <c r="AP18" s="177">
        <v>0</v>
      </c>
      <c r="AQ18" s="177">
        <v>0</v>
      </c>
      <c r="AR18" s="154">
        <f>IF('NOMINA DETALLE PENSIONADOS'!H18&lt;&gt;"ALTO NIVEL",IF('NOMINA DETALLE PENSIONADOS'!AE18&gt;0,ROUND(SUM('NOMINA DETALLE PENSIONADOS'!AE18:AF18)*'NOMINA DETALLE PENSIONADOS'!$AR$6,0),0),0)</f>
        <v>0</v>
      </c>
      <c r="AS18" s="154">
        <f>IF('NOMINA DETALLE PENSIONADOS'!H18="ALTO NIVEL",IF('NOMINA DETALLE PENSIONADOS'!AF18&gt;0,ROUND(SUM('NOMINA DETALLE PENSIONADOS'!AE18:AF18)*'NOMINA DETALLE PENSIONADOS'!$AS$6,0),0),0)</f>
        <v>0</v>
      </c>
      <c r="AT18" s="177">
        <v>0</v>
      </c>
      <c r="AU18" s="177">
        <v>0</v>
      </c>
      <c r="AV18" s="177">
        <v>0</v>
      </c>
      <c r="AW18" s="177">
        <v>0</v>
      </c>
      <c r="AX18" s="177">
        <v>0</v>
      </c>
      <c r="AY18" s="177">
        <v>0</v>
      </c>
      <c r="AZ18" s="177">
        <v>0</v>
      </c>
      <c r="BA18" s="177">
        <v>0</v>
      </c>
      <c r="BB18" s="177">
        <v>0</v>
      </c>
      <c r="BC18" s="177">
        <v>0</v>
      </c>
      <c r="BD18" s="177">
        <v>0</v>
      </c>
      <c r="BE18" s="177">
        <v>0</v>
      </c>
      <c r="BF18" s="177">
        <v>0</v>
      </c>
      <c r="BG18" s="177">
        <v>0</v>
      </c>
      <c r="BH18" s="177">
        <v>0</v>
      </c>
      <c r="BI18" s="177">
        <v>0</v>
      </c>
      <c r="BJ18" s="177">
        <v>0</v>
      </c>
      <c r="BK18" s="183">
        <f>SUM('NOMINA DETALLE PENSIONADOS'!AE18:BJ18)</f>
        <v>0</v>
      </c>
      <c r="BL18" s="158"/>
    </row>
    <row r="19" spans="1:64" ht="16.5" customHeight="1" x14ac:dyDescent="0.25">
      <c r="A19" s="178">
        <f>'NOMINA DETALLE PENSIONADOS'!A18+1</f>
        <v>9</v>
      </c>
      <c r="B19" s="179"/>
      <c r="C19" s="180"/>
      <c r="D19" s="180"/>
      <c r="E19" s="149"/>
      <c r="F19" s="149" t="s">
        <v>30</v>
      </c>
      <c r="G19" s="175" t="s">
        <v>416</v>
      </c>
      <c r="H19" s="152"/>
      <c r="I19" s="152"/>
      <c r="J19" s="181"/>
      <c r="K19" s="155">
        <f>IF('NOMINA DETALLE PENSIONADOS'!E19&gt;0,INT(YEARFRAC('NOMINA DETALLE PENSIONADOS'!E19,'NOMINA DETALLE PENSIONADOS'!$I$6)),0)</f>
        <v>0</v>
      </c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54">
        <f>IF('NOMINA DETALLE PENSIONADOS'!H19="ALTO NIVEL",0,IF(AND('NOMINA DETALLE PENSIONADOS'!J19&gt;0,'NOMINA DETALLE PENSIONADOS'!E19&gt;0),'NOMINA DETALLE PENSIONADOS'!J19,0))</f>
        <v>0</v>
      </c>
      <c r="AF19" s="154">
        <f>IF(AND('NOMINA DETALLE PENSIONADOS'!E19&gt;0,'NOMINA DETALLE PENSIONADOS'!H19="ALTO NIVEL",'NOMINA DETALLE PENSIONADOS'!J19&gt;0),'NOMINA DETALLE PENSIONADOS'!J19,0)</f>
        <v>0</v>
      </c>
      <c r="AG19" s="177">
        <v>0</v>
      </c>
      <c r="AH19" s="177">
        <v>0</v>
      </c>
      <c r="AI19" s="154">
        <v>0</v>
      </c>
      <c r="AJ19" s="154">
        <v>0</v>
      </c>
      <c r="AK19" s="177">
        <v>0</v>
      </c>
      <c r="AL19" s="177">
        <v>0</v>
      </c>
      <c r="AM19" s="177">
        <v>0</v>
      </c>
      <c r="AN19" s="177">
        <v>0</v>
      </c>
      <c r="AO19" s="177">
        <v>0</v>
      </c>
      <c r="AP19" s="177">
        <v>0</v>
      </c>
      <c r="AQ19" s="177">
        <v>0</v>
      </c>
      <c r="AR19" s="154">
        <f>IF('NOMINA DETALLE PENSIONADOS'!H19&lt;&gt;"ALTO NIVEL",IF('NOMINA DETALLE PENSIONADOS'!AE19&gt;0,ROUND(SUM('NOMINA DETALLE PENSIONADOS'!AE19:AF19)*'NOMINA DETALLE PENSIONADOS'!$AR$6,0),0),0)</f>
        <v>0</v>
      </c>
      <c r="AS19" s="154">
        <f>IF('NOMINA DETALLE PENSIONADOS'!H19="ALTO NIVEL",IF('NOMINA DETALLE PENSIONADOS'!AF19&gt;0,ROUND(SUM('NOMINA DETALLE PENSIONADOS'!AE19:AF19)*'NOMINA DETALLE PENSIONADOS'!$AS$6,0),0),0)</f>
        <v>0</v>
      </c>
      <c r="AT19" s="177">
        <v>0</v>
      </c>
      <c r="AU19" s="177">
        <v>0</v>
      </c>
      <c r="AV19" s="177">
        <v>0</v>
      </c>
      <c r="AW19" s="177">
        <v>0</v>
      </c>
      <c r="AX19" s="177">
        <v>0</v>
      </c>
      <c r="AY19" s="177">
        <v>0</v>
      </c>
      <c r="AZ19" s="177">
        <v>0</v>
      </c>
      <c r="BA19" s="177">
        <v>0</v>
      </c>
      <c r="BB19" s="177">
        <v>0</v>
      </c>
      <c r="BC19" s="177">
        <v>0</v>
      </c>
      <c r="BD19" s="177">
        <v>0</v>
      </c>
      <c r="BE19" s="177">
        <v>0</v>
      </c>
      <c r="BF19" s="177">
        <v>0</v>
      </c>
      <c r="BG19" s="177">
        <v>0</v>
      </c>
      <c r="BH19" s="177">
        <v>0</v>
      </c>
      <c r="BI19" s="177">
        <v>0</v>
      </c>
      <c r="BJ19" s="177">
        <v>0</v>
      </c>
      <c r="BK19" s="183">
        <f>SUM('NOMINA DETALLE PENSIONADOS'!AE19:BJ19)</f>
        <v>0</v>
      </c>
      <c r="BL19" s="158"/>
    </row>
    <row r="20" spans="1:64" ht="16.5" customHeight="1" x14ac:dyDescent="0.25">
      <c r="A20" s="178">
        <f>'NOMINA DETALLE PENSIONADOS'!A19+1</f>
        <v>10</v>
      </c>
      <c r="B20" s="179"/>
      <c r="C20" s="180"/>
      <c r="D20" s="180"/>
      <c r="E20" s="149"/>
      <c r="F20" s="149" t="s">
        <v>30</v>
      </c>
      <c r="G20" s="175" t="s">
        <v>416</v>
      </c>
      <c r="H20" s="152"/>
      <c r="I20" s="152"/>
      <c r="J20" s="181"/>
      <c r="K20" s="155">
        <f>IF('NOMINA DETALLE PENSIONADOS'!E20&gt;0,INT(YEARFRAC('NOMINA DETALLE PENSIONADOS'!E20,'NOMINA DETALLE PENSIONADOS'!$I$6)),0)</f>
        <v>0</v>
      </c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54">
        <f>IF('NOMINA DETALLE PENSIONADOS'!H20="ALTO NIVEL",0,IF(AND('NOMINA DETALLE PENSIONADOS'!J20&gt;0,'NOMINA DETALLE PENSIONADOS'!E20&gt;0),'NOMINA DETALLE PENSIONADOS'!J20,0))</f>
        <v>0</v>
      </c>
      <c r="AF20" s="154">
        <f>IF(AND('NOMINA DETALLE PENSIONADOS'!E20&gt;0,'NOMINA DETALLE PENSIONADOS'!H20="ALTO NIVEL",'NOMINA DETALLE PENSIONADOS'!J20&gt;0),'NOMINA DETALLE PENSIONADOS'!J20,0)</f>
        <v>0</v>
      </c>
      <c r="AG20" s="177">
        <v>0</v>
      </c>
      <c r="AH20" s="177">
        <v>0</v>
      </c>
      <c r="AI20" s="154">
        <v>0</v>
      </c>
      <c r="AJ20" s="154">
        <v>0</v>
      </c>
      <c r="AK20" s="177">
        <v>0</v>
      </c>
      <c r="AL20" s="177">
        <v>0</v>
      </c>
      <c r="AM20" s="177">
        <v>0</v>
      </c>
      <c r="AN20" s="177">
        <v>0</v>
      </c>
      <c r="AO20" s="177">
        <v>0</v>
      </c>
      <c r="AP20" s="177">
        <v>0</v>
      </c>
      <c r="AQ20" s="177">
        <v>0</v>
      </c>
      <c r="AR20" s="154">
        <f>IF('NOMINA DETALLE PENSIONADOS'!H20&lt;&gt;"ALTO NIVEL",IF('NOMINA DETALLE PENSIONADOS'!AE20&gt;0,ROUND(SUM('NOMINA DETALLE PENSIONADOS'!AE20:AF20)*'NOMINA DETALLE PENSIONADOS'!$AR$6,0),0),0)</f>
        <v>0</v>
      </c>
      <c r="AS20" s="154">
        <f>IF('NOMINA DETALLE PENSIONADOS'!H20="ALTO NIVEL",IF('NOMINA DETALLE PENSIONADOS'!AF20&gt;0,ROUND(SUM('NOMINA DETALLE PENSIONADOS'!AE20:AF20)*'NOMINA DETALLE PENSIONADOS'!$AS$6,0),0),0)</f>
        <v>0</v>
      </c>
      <c r="AT20" s="177">
        <v>0</v>
      </c>
      <c r="AU20" s="177">
        <v>0</v>
      </c>
      <c r="AV20" s="177">
        <v>0</v>
      </c>
      <c r="AW20" s="177">
        <v>0</v>
      </c>
      <c r="AX20" s="177">
        <v>0</v>
      </c>
      <c r="AY20" s="177">
        <v>0</v>
      </c>
      <c r="AZ20" s="177">
        <v>0</v>
      </c>
      <c r="BA20" s="177">
        <v>0</v>
      </c>
      <c r="BB20" s="177">
        <v>0</v>
      </c>
      <c r="BC20" s="177">
        <v>0</v>
      </c>
      <c r="BD20" s="177">
        <v>0</v>
      </c>
      <c r="BE20" s="177">
        <v>0</v>
      </c>
      <c r="BF20" s="177">
        <v>0</v>
      </c>
      <c r="BG20" s="177">
        <v>0</v>
      </c>
      <c r="BH20" s="177">
        <v>0</v>
      </c>
      <c r="BI20" s="177">
        <v>0</v>
      </c>
      <c r="BJ20" s="177">
        <v>0</v>
      </c>
      <c r="BK20" s="183">
        <f>SUM('NOMINA DETALLE PENSIONADOS'!AE20:BJ20)</f>
        <v>0</v>
      </c>
    </row>
    <row r="21" spans="1:64" ht="15" x14ac:dyDescent="0.25">
      <c r="A21" s="237" t="s">
        <v>130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</row>
    <row r="22" spans="1:64" ht="15.75" x14ac:dyDescent="0.2">
      <c r="A22" s="159"/>
      <c r="B22" s="159"/>
      <c r="C22" s="159"/>
      <c r="D22" s="159"/>
      <c r="E22" s="159"/>
      <c r="F22" s="159"/>
      <c r="G22" s="160"/>
      <c r="H22" s="160"/>
      <c r="I22" s="160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2"/>
      <c r="AF22" s="162"/>
      <c r="AG22" s="162"/>
      <c r="AH22" s="162"/>
      <c r="AI22" s="163"/>
      <c r="AJ22" s="163"/>
      <c r="AK22" s="163"/>
      <c r="AL22" s="163"/>
      <c r="AM22" s="162"/>
      <c r="AN22" s="162"/>
      <c r="AO22" s="162"/>
      <c r="AP22" s="162"/>
      <c r="AQ22" s="162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</row>
    <row r="23" spans="1:64" x14ac:dyDescent="0.2"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64" x14ac:dyDescent="0.2"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64" ht="27.75" customHeight="1" x14ac:dyDescent="0.25">
      <c r="I25" s="110" t="s">
        <v>417</v>
      </c>
      <c r="J25" s="164">
        <f>COUNTIFS('NOMINA DETALLE PENSIONADOS'!$J$11:$J$21,"&gt;0",'NOMINA DETALLE PENSIONADOS'!$E$11:$E$21,"&gt;0")</f>
        <v>0</v>
      </c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65">
        <f>SUBTOTAL(9,'NOMINA DETALLE PENSIONADOS'!AE11:AE21)</f>
        <v>0</v>
      </c>
      <c r="AF25" s="165">
        <f>SUBTOTAL(9,'NOMINA DETALLE PENSIONADOS'!AF11:AF21)</f>
        <v>0</v>
      </c>
      <c r="AG25" s="165">
        <f>SUBTOTAL(9,'NOMINA DETALLE PENSIONADOS'!AG11:AG21)</f>
        <v>0</v>
      </c>
      <c r="AH25" s="165">
        <f>SUBTOTAL(9,'NOMINA DETALLE PENSIONADOS'!AH11:AH21)</f>
        <v>0</v>
      </c>
      <c r="AI25" s="165">
        <f>SUBTOTAL(9,'NOMINA DETALLE PENSIONADOS'!AI11:AI21)</f>
        <v>0</v>
      </c>
      <c r="AJ25" s="165">
        <f>SUBTOTAL(9,'NOMINA DETALLE PENSIONADOS'!AJ11:AJ21)</f>
        <v>0</v>
      </c>
      <c r="AK25" s="165">
        <f>SUBTOTAL(9,'NOMINA DETALLE PENSIONADOS'!AK11:AK21)</f>
        <v>0</v>
      </c>
      <c r="AL25" s="165">
        <f>SUBTOTAL(9,'NOMINA DETALLE PENSIONADOS'!AL11:AL21)</f>
        <v>0</v>
      </c>
      <c r="AM25" s="165">
        <f>SUBTOTAL(9,'NOMINA DETALLE PENSIONADOS'!AM11:AM21)</f>
        <v>0</v>
      </c>
      <c r="AN25" s="165">
        <f>SUBTOTAL(9,'NOMINA DETALLE PENSIONADOS'!AN11:AN21)</f>
        <v>0</v>
      </c>
      <c r="AO25" s="165">
        <f>SUBTOTAL(9,'NOMINA DETALLE PENSIONADOS'!AO11:AO21)</f>
        <v>0</v>
      </c>
      <c r="AP25" s="165">
        <f>SUBTOTAL(9,'NOMINA DETALLE PENSIONADOS'!AP11:AP21)</f>
        <v>0</v>
      </c>
      <c r="AQ25" s="165">
        <f>SUBTOTAL(9,'NOMINA DETALLE PENSIONADOS'!AQ11:AQ21)</f>
        <v>0</v>
      </c>
      <c r="AR25" s="165">
        <f>SUBTOTAL(9,'NOMINA DETALLE PENSIONADOS'!AR11:AR21)</f>
        <v>0</v>
      </c>
      <c r="AS25" s="165">
        <f>SUBTOTAL(9,'NOMINA DETALLE PENSIONADOS'!AS11:AS21)</f>
        <v>0</v>
      </c>
      <c r="AT25" s="165">
        <f>SUBTOTAL(9,'NOMINA DETALLE PENSIONADOS'!AT11:AT21)</f>
        <v>0</v>
      </c>
      <c r="AU25" s="165">
        <f>SUBTOTAL(9,'NOMINA DETALLE PENSIONADOS'!AU11:AU21)</f>
        <v>0</v>
      </c>
      <c r="AV25" s="165">
        <f>SUBTOTAL(9,'NOMINA DETALLE PENSIONADOS'!AV11:AV21)</f>
        <v>0</v>
      </c>
      <c r="AW25" s="165">
        <f>SUBTOTAL(9,'NOMINA DETALLE PENSIONADOS'!AW11:AW21)</f>
        <v>0</v>
      </c>
      <c r="AX25" s="165">
        <f>SUBTOTAL(9,'NOMINA DETALLE PENSIONADOS'!AX11:AX21)</f>
        <v>0</v>
      </c>
      <c r="AY25" s="165">
        <f>SUBTOTAL(9,'NOMINA DETALLE PENSIONADOS'!AY11:AY21)</f>
        <v>0</v>
      </c>
      <c r="AZ25" s="165">
        <f>SUBTOTAL(9,'NOMINA DETALLE PENSIONADOS'!AZ11:AZ21)</f>
        <v>0</v>
      </c>
      <c r="BA25" s="165">
        <f>SUBTOTAL(9,'NOMINA DETALLE PENSIONADOS'!BA11:BA21)</f>
        <v>0</v>
      </c>
      <c r="BB25" s="165">
        <f>SUBTOTAL(9,'NOMINA DETALLE PENSIONADOS'!BB11:BB21)</f>
        <v>0</v>
      </c>
      <c r="BC25" s="165">
        <f>SUBTOTAL(9,'NOMINA DETALLE PENSIONADOS'!BC11:BC21)</f>
        <v>0</v>
      </c>
      <c r="BD25" s="165">
        <f>SUBTOTAL(9,'NOMINA DETALLE PENSIONADOS'!BD11:BD21)</f>
        <v>0</v>
      </c>
      <c r="BE25" s="165">
        <f>SUBTOTAL(9,'NOMINA DETALLE PENSIONADOS'!BE11:BE21)</f>
        <v>0</v>
      </c>
      <c r="BF25" s="165">
        <f>SUBTOTAL(9,'NOMINA DETALLE PENSIONADOS'!BF11:BF21)</f>
        <v>0</v>
      </c>
      <c r="BG25" s="165">
        <f>SUBTOTAL(9,'NOMINA DETALLE PENSIONADOS'!BG11:BG21)</f>
        <v>0</v>
      </c>
      <c r="BH25" s="165">
        <f>SUBTOTAL(9,'NOMINA DETALLE PENSIONADOS'!BH11:BH21)</f>
        <v>0</v>
      </c>
      <c r="BI25" s="165">
        <f>SUBTOTAL(9,'NOMINA DETALLE PENSIONADOS'!BI11:BI21)</f>
        <v>0</v>
      </c>
      <c r="BJ25" s="165">
        <f>SUBTOTAL(9,'NOMINA DETALLE PENSIONADOS'!BJ11:BJ21)</f>
        <v>0</v>
      </c>
      <c r="BK25" s="166">
        <f>SUBTOTAL(9,'NOMINA DETALLE PENSIONADOS'!BK11:BK21)</f>
        <v>0</v>
      </c>
    </row>
    <row r="27" spans="1:64" ht="31.7" customHeight="1" x14ac:dyDescent="0.2"/>
    <row r="28" spans="1:64" ht="26.45" customHeight="1" x14ac:dyDescent="0.2"/>
  </sheetData>
  <mergeCells count="13">
    <mergeCell ref="A10:AD10"/>
    <mergeCell ref="A21:BK21"/>
    <mergeCell ref="AV7:BB7"/>
    <mergeCell ref="BC7:BJ7"/>
    <mergeCell ref="BK7:BK8"/>
    <mergeCell ref="A8:J8"/>
    <mergeCell ref="K8:M8"/>
    <mergeCell ref="N8:AD8"/>
    <mergeCell ref="H5:H6"/>
    <mergeCell ref="AE7:AH7"/>
    <mergeCell ref="AI7:AL7"/>
    <mergeCell ref="AM7:AQ7"/>
    <mergeCell ref="AR7:AU7"/>
  </mergeCells>
  <dataValidations count="3">
    <dataValidation operator="equal" allowBlank="1" showInputMessage="1" showErrorMessage="1" sqref="F11:F20 E12:E20">
      <formula1>0</formula1>
      <formula2>0</formula2>
    </dataValidation>
    <dataValidation type="list" operator="equal" allowBlank="1" showInputMessage="1" showErrorMessage="1" sqref="D11:D20">
      <formula1>GENERO</formula1>
      <formula2>0</formula2>
    </dataValidation>
    <dataValidation type="list" operator="equal" allowBlank="1" showErrorMessage="1" prompt="Ingrese el cargo del Rector" sqref="I11:I20">
      <formula1>CARGOS</formula1>
      <formula2>0</formula2>
    </dataValidation>
  </dataValidations>
  <pageMargins left="0.31527777777777799" right="0.39374999999999999" top="0.74791666666666701" bottom="0.47222222222222199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AMJ15"/>
  <sheetViews>
    <sheetView showGridLines="0" topLeftCell="BH1" zoomScale="60" zoomScaleNormal="60" workbookViewId="0">
      <selection activeCell="BO16" sqref="BO16"/>
    </sheetView>
  </sheetViews>
  <sheetFormatPr baseColWidth="10" defaultColWidth="9.140625" defaultRowHeight="12.75" x14ac:dyDescent="0.2"/>
  <cols>
    <col min="1" max="1" width="7.85546875" style="53" customWidth="1"/>
    <col min="2" max="2" width="19.5703125" style="53" customWidth="1"/>
    <col min="3" max="3" width="20.5703125" style="53" customWidth="1"/>
    <col min="4" max="4" width="22.42578125" style="53" customWidth="1"/>
    <col min="5" max="5" width="13" style="53" customWidth="1"/>
    <col min="6" max="6" width="15.42578125" style="54" customWidth="1"/>
    <col min="7" max="7" width="21.42578125" style="54" customWidth="1"/>
    <col min="8" max="8" width="32.28515625" style="54" customWidth="1"/>
    <col min="9" max="9" width="24.7109375" style="54" customWidth="1"/>
    <col min="10" max="11" width="18.140625" style="54" customWidth="1"/>
    <col min="12" max="12" width="15.85546875" style="54" customWidth="1"/>
    <col min="13" max="13" width="13.140625" style="54" customWidth="1"/>
    <col min="14" max="14" width="12.7109375" style="54" customWidth="1"/>
    <col min="15" max="23" width="15.28515625" style="54" customWidth="1"/>
    <col min="24" max="24" width="19.5703125" style="54" customWidth="1"/>
    <col min="25" max="25" width="15.5703125" style="55" customWidth="1"/>
    <col min="26" max="33" width="16.5703125" style="55" customWidth="1"/>
    <col min="34" max="36" width="23.85546875" style="55" customWidth="1"/>
    <col min="37" max="38" width="17.85546875" style="55" customWidth="1"/>
    <col min="39" max="39" width="22.28515625" style="55" customWidth="1"/>
    <col min="40" max="40" width="21.5703125" style="55" customWidth="1"/>
    <col min="41" max="41" width="19.140625" style="55" customWidth="1"/>
    <col min="42" max="42" width="21.42578125" style="55" customWidth="1"/>
    <col min="43" max="43" width="22.42578125" style="55" customWidth="1"/>
    <col min="44" max="44" width="21.42578125" style="55" customWidth="1"/>
    <col min="45" max="50" width="12.42578125" style="54" customWidth="1"/>
    <col min="51" max="51" width="20" style="54" customWidth="1"/>
    <col min="52" max="52" width="17.140625" style="54" customWidth="1"/>
    <col min="53" max="53" width="16.28515625" style="54" customWidth="1"/>
    <col min="54" max="54" width="14.85546875" style="54" customWidth="1"/>
    <col min="55" max="55" width="15.7109375" style="54" customWidth="1"/>
    <col min="56" max="56" width="12.42578125" style="54" customWidth="1"/>
    <col min="57" max="57" width="16.5703125" style="54" customWidth="1"/>
    <col min="58" max="60" width="12.42578125" style="54" customWidth="1"/>
    <col min="61" max="61" width="15.7109375" style="54" customWidth="1"/>
    <col min="62" max="65" width="12.42578125" style="54" customWidth="1"/>
    <col min="66" max="66" width="17.7109375" style="54" customWidth="1"/>
    <col min="67" max="67" width="22.42578125" style="54" customWidth="1"/>
    <col min="68" max="68" width="13.42578125" style="54" customWidth="1"/>
    <col min="69" max="69" width="10.5703125" style="54" customWidth="1"/>
    <col min="70" max="996" width="9.5703125" style="54" customWidth="1"/>
    <col min="997" max="1025" width="8.5703125" customWidth="1"/>
  </cols>
  <sheetData>
    <row r="1" spans="1:1024" ht="33" customHeight="1" x14ac:dyDescent="0.2">
      <c r="A1" s="5" t="s">
        <v>418</v>
      </c>
      <c r="B1" s="5"/>
      <c r="C1" s="5"/>
      <c r="D1" s="5"/>
      <c r="E1" s="5"/>
      <c r="F1" s="5"/>
      <c r="G1" s="4" t="s">
        <v>51</v>
      </c>
      <c r="H1" s="3">
        <f>+'1.DATOS'!F4</f>
        <v>43373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 s="2" t="s">
        <v>132</v>
      </c>
      <c r="AC1" s="2"/>
      <c r="AD1" s="57" t="s">
        <v>133</v>
      </c>
      <c r="AE1" s="57" t="s">
        <v>133</v>
      </c>
      <c r="AF1" s="57" t="s">
        <v>133</v>
      </c>
      <c r="AG1" s="1" t="s">
        <v>134</v>
      </c>
      <c r="AH1" s="1"/>
      <c r="AI1" s="57" t="s">
        <v>133</v>
      </c>
      <c r="AJ1" s="1" t="s">
        <v>134</v>
      </c>
      <c r="AK1" s="1"/>
      <c r="AL1" s="1"/>
      <c r="AM1" s="58"/>
      <c r="AN1" s="209"/>
      <c r="AO1" s="1" t="s">
        <v>134</v>
      </c>
      <c r="AP1" s="1"/>
      <c r="AQ1" s="57" t="s">
        <v>135</v>
      </c>
      <c r="AR1" s="57" t="s">
        <v>135</v>
      </c>
      <c r="AS1" s="1" t="s">
        <v>134</v>
      </c>
      <c r="AT1" s="1"/>
      <c r="AU1" s="1"/>
      <c r="AV1" s="1"/>
      <c r="AW1" s="1"/>
      <c r="AX1" s="1"/>
      <c r="AY1"/>
      <c r="AZ1" s="57" t="s">
        <v>133</v>
      </c>
      <c r="BA1" s="57" t="s">
        <v>133</v>
      </c>
      <c r="BB1" s="57" t="s">
        <v>133</v>
      </c>
      <c r="BC1" s="57" t="s">
        <v>133</v>
      </c>
      <c r="BD1" s="57" t="s">
        <v>133</v>
      </c>
      <c r="BE1" s="57" t="s">
        <v>136</v>
      </c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</row>
    <row r="2" spans="1:1024" ht="27.95" customHeight="1" x14ac:dyDescent="0.2">
      <c r="A2" s="5"/>
      <c r="B2" s="5"/>
      <c r="C2" s="5"/>
      <c r="D2" s="5"/>
      <c r="E2" s="5"/>
      <c r="F2" s="5"/>
      <c r="G2" s="4"/>
      <c r="H2" s="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 s="210" t="s">
        <v>137</v>
      </c>
      <c r="AC2" s="210"/>
      <c r="AD2" s="60">
        <v>200</v>
      </c>
      <c r="AE2" s="60">
        <v>300</v>
      </c>
      <c r="AF2" s="60">
        <v>50</v>
      </c>
      <c r="AG2" s="1"/>
      <c r="AH2" s="1"/>
      <c r="AI2" s="60">
        <v>50</v>
      </c>
      <c r="AJ2" s="1"/>
      <c r="AK2" s="1"/>
      <c r="AL2" s="1"/>
      <c r="AM2" s="58"/>
      <c r="AN2" s="209"/>
      <c r="AO2" s="1"/>
      <c r="AP2" s="1"/>
      <c r="AQ2" s="60">
        <v>105</v>
      </c>
      <c r="AR2" s="60">
        <v>120</v>
      </c>
      <c r="AS2" s="1"/>
      <c r="AT2" s="1"/>
      <c r="AU2" s="1"/>
      <c r="AV2" s="1"/>
      <c r="AW2" s="1"/>
      <c r="AX2" s="1"/>
      <c r="AY2"/>
      <c r="AZ2" s="60">
        <v>50</v>
      </c>
      <c r="BA2" s="60">
        <v>200</v>
      </c>
      <c r="BB2" s="60">
        <v>100</v>
      </c>
      <c r="BC2" s="60">
        <v>300</v>
      </c>
      <c r="BD2" s="60">
        <v>100</v>
      </c>
      <c r="BE2" s="61">
        <v>0.4</v>
      </c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</row>
    <row r="3" spans="1:1024" ht="30.75" customHeight="1" x14ac:dyDescent="0.25">
      <c r="A3" s="5"/>
      <c r="B3" s="5"/>
      <c r="C3" s="5"/>
      <c r="D3" s="5"/>
      <c r="E3" s="5"/>
      <c r="F3" s="5"/>
      <c r="G3" s="4"/>
      <c r="H3" s="3"/>
      <c r="Y3" s="54"/>
      <c r="Z3" s="54"/>
      <c r="AA3" s="54"/>
      <c r="AB3" s="211" t="s">
        <v>138</v>
      </c>
      <c r="AC3" s="211"/>
      <c r="AD3" s="62" t="s">
        <v>139</v>
      </c>
      <c r="AE3" s="62" t="s">
        <v>140</v>
      </c>
      <c r="AF3" s="62" t="s">
        <v>141</v>
      </c>
      <c r="AG3" s="62" t="s">
        <v>142</v>
      </c>
      <c r="AH3" s="62" t="s">
        <v>143</v>
      </c>
      <c r="AI3" s="62" t="s">
        <v>144</v>
      </c>
      <c r="AJ3" s="62" t="s">
        <v>145</v>
      </c>
      <c r="AK3" s="62" t="s">
        <v>146</v>
      </c>
      <c r="AL3" s="62" t="s">
        <v>147</v>
      </c>
      <c r="AM3" s="63"/>
      <c r="AN3" s="209"/>
      <c r="AO3" s="62" t="s">
        <v>148</v>
      </c>
      <c r="AP3" s="62" t="s">
        <v>148</v>
      </c>
      <c r="AQ3" s="62" t="s">
        <v>149</v>
      </c>
      <c r="AR3" s="62" t="s">
        <v>150</v>
      </c>
      <c r="AS3" s="62" t="s">
        <v>148</v>
      </c>
      <c r="AT3" s="62" t="s">
        <v>148</v>
      </c>
      <c r="AU3" s="62" t="s">
        <v>148</v>
      </c>
      <c r="AV3" s="62" t="s">
        <v>148</v>
      </c>
      <c r="AW3" s="62" t="s">
        <v>148</v>
      </c>
      <c r="AX3" s="62" t="s">
        <v>148</v>
      </c>
      <c r="AY3"/>
      <c r="AZ3" s="62" t="s">
        <v>151</v>
      </c>
      <c r="BA3" s="62" t="s">
        <v>152</v>
      </c>
      <c r="BB3" s="62" t="s">
        <v>153</v>
      </c>
      <c r="BC3" s="62" t="s">
        <v>154</v>
      </c>
      <c r="BD3" s="62" t="s">
        <v>155</v>
      </c>
      <c r="BE3" s="62" t="s">
        <v>148</v>
      </c>
      <c r="BF3" s="238"/>
      <c r="BG3" s="238"/>
      <c r="BH3" s="238"/>
      <c r="BI3" s="238"/>
      <c r="BJ3" s="238"/>
      <c r="BK3" s="238"/>
      <c r="BL3" s="238"/>
      <c r="BM3" s="238"/>
      <c r="BN3" s="238"/>
      <c r="BO3" s="168"/>
      <c r="ALI3" s="54"/>
      <c r="ALJ3" s="54"/>
      <c r="ALK3" s="54"/>
      <c r="ALL3" s="54"/>
      <c r="ALM3" s="54"/>
      <c r="ALN3" s="54"/>
      <c r="ALO3" s="54"/>
      <c r="ALP3" s="54"/>
      <c r="ALQ3" s="54"/>
      <c r="ALR3" s="54"/>
    </row>
    <row r="4" spans="1:1024" ht="49.5" customHeight="1" x14ac:dyDescent="0.25">
      <c r="A4" s="212" t="s">
        <v>156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 t="s">
        <v>157</v>
      </c>
      <c r="M4" s="213"/>
      <c r="N4" s="213"/>
      <c r="O4" s="213"/>
      <c r="P4" s="213"/>
      <c r="Q4" s="212" t="s">
        <v>158</v>
      </c>
      <c r="R4" s="212"/>
      <c r="S4" s="212"/>
      <c r="T4" s="212"/>
      <c r="U4" s="212"/>
      <c r="V4" s="212"/>
      <c r="W4" s="212"/>
      <c r="X4" s="212"/>
      <c r="Y4" s="209" t="s">
        <v>102</v>
      </c>
      <c r="Z4" s="209"/>
      <c r="AA4" s="209"/>
      <c r="AB4" s="209"/>
      <c r="AC4" s="209"/>
      <c r="AD4" s="214" t="s">
        <v>159</v>
      </c>
      <c r="AE4" s="214"/>
      <c r="AF4" s="214"/>
      <c r="AG4" s="214"/>
      <c r="AH4" s="214"/>
      <c r="AI4" s="214"/>
      <c r="AJ4" s="214"/>
      <c r="AK4" s="214"/>
      <c r="AL4" s="214"/>
      <c r="AM4" s="64"/>
      <c r="AN4" s="209" t="s">
        <v>160</v>
      </c>
      <c r="AO4" s="239" t="s">
        <v>253</v>
      </c>
      <c r="AP4" s="239"/>
      <c r="AQ4" s="240" t="s">
        <v>255</v>
      </c>
      <c r="AR4" s="240"/>
      <c r="AS4" s="217" t="s">
        <v>12</v>
      </c>
      <c r="AT4" s="217"/>
      <c r="AU4" s="217"/>
      <c r="AV4" s="217"/>
      <c r="AW4" s="217"/>
      <c r="AX4" s="217"/>
      <c r="AY4" s="217"/>
      <c r="AZ4" s="218" t="s">
        <v>163</v>
      </c>
      <c r="BA4" s="218"/>
      <c r="BB4" s="218"/>
      <c r="BC4" s="218"/>
      <c r="BD4" s="218"/>
      <c r="BE4" s="218"/>
      <c r="BF4" s="219" t="s">
        <v>164</v>
      </c>
      <c r="BG4" s="219"/>
      <c r="BH4" s="219"/>
      <c r="BI4" s="219"/>
      <c r="BJ4" s="219"/>
      <c r="BK4" s="219"/>
      <c r="BL4" s="219"/>
      <c r="BM4" s="220" t="s">
        <v>165</v>
      </c>
      <c r="BN4" s="220"/>
      <c r="BO4" s="65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</row>
    <row r="5" spans="1:1024" s="75" customFormat="1" ht="128.25" customHeight="1" x14ac:dyDescent="0.2">
      <c r="A5" s="66" t="s">
        <v>98</v>
      </c>
      <c r="B5" s="67" t="s">
        <v>166</v>
      </c>
      <c r="C5" s="67" t="s">
        <v>167</v>
      </c>
      <c r="D5" s="67" t="s">
        <v>168</v>
      </c>
      <c r="E5" s="66" t="s">
        <v>169</v>
      </c>
      <c r="F5" s="66" t="s">
        <v>170</v>
      </c>
      <c r="G5" s="66" t="s">
        <v>21</v>
      </c>
      <c r="H5" s="66" t="s">
        <v>171</v>
      </c>
      <c r="I5" s="66" t="s">
        <v>70</v>
      </c>
      <c r="J5" s="66" t="s">
        <v>172</v>
      </c>
      <c r="K5" s="66" t="s">
        <v>419</v>
      </c>
      <c r="L5" s="66" t="s">
        <v>174</v>
      </c>
      <c r="M5" s="66" t="s">
        <v>175</v>
      </c>
      <c r="N5" s="66" t="s">
        <v>176</v>
      </c>
      <c r="O5" s="66" t="s">
        <v>177</v>
      </c>
      <c r="P5" s="66" t="s">
        <v>178</v>
      </c>
      <c r="Q5" s="66" t="s">
        <v>319</v>
      </c>
      <c r="R5" s="66" t="s">
        <v>320</v>
      </c>
      <c r="S5" s="66" t="s">
        <v>321</v>
      </c>
      <c r="T5" s="66" t="s">
        <v>182</v>
      </c>
      <c r="U5" s="66" t="s">
        <v>183</v>
      </c>
      <c r="V5" s="66" t="s">
        <v>184</v>
      </c>
      <c r="W5" s="66" t="s">
        <v>185</v>
      </c>
      <c r="X5" s="66" t="s">
        <v>267</v>
      </c>
      <c r="Y5" s="68" t="s">
        <v>420</v>
      </c>
      <c r="Z5" s="68" t="s">
        <v>421</v>
      </c>
      <c r="AA5" s="68" t="s">
        <v>324</v>
      </c>
      <c r="AB5" s="68" t="s">
        <v>325</v>
      </c>
      <c r="AC5" s="68" t="s">
        <v>326</v>
      </c>
      <c r="AD5" s="69" t="s">
        <v>192</v>
      </c>
      <c r="AE5" s="69" t="s">
        <v>193</v>
      </c>
      <c r="AF5" s="69" t="s">
        <v>194</v>
      </c>
      <c r="AG5" s="69" t="s">
        <v>18</v>
      </c>
      <c r="AH5" s="69" t="s">
        <v>195</v>
      </c>
      <c r="AI5" s="69" t="s">
        <v>196</v>
      </c>
      <c r="AJ5" s="69" t="s">
        <v>197</v>
      </c>
      <c r="AK5" s="69" t="s">
        <v>198</v>
      </c>
      <c r="AL5" s="69" t="s">
        <v>199</v>
      </c>
      <c r="AM5" s="69" t="s">
        <v>200</v>
      </c>
      <c r="AN5" s="209"/>
      <c r="AO5" s="70" t="s">
        <v>328</v>
      </c>
      <c r="AP5" s="70" t="s">
        <v>330</v>
      </c>
      <c r="AQ5" s="69" t="s">
        <v>331</v>
      </c>
      <c r="AR5" s="69" t="s">
        <v>332</v>
      </c>
      <c r="AS5" s="70" t="s">
        <v>333</v>
      </c>
      <c r="AT5" s="70" t="s">
        <v>334</v>
      </c>
      <c r="AU5" s="70" t="s">
        <v>335</v>
      </c>
      <c r="AV5" s="70" t="s">
        <v>336</v>
      </c>
      <c r="AW5" s="70" t="s">
        <v>337</v>
      </c>
      <c r="AX5" s="70" t="s">
        <v>338</v>
      </c>
      <c r="AY5" s="70" t="s">
        <v>339</v>
      </c>
      <c r="AZ5" s="71" t="s">
        <v>213</v>
      </c>
      <c r="BA5" s="71" t="s">
        <v>214</v>
      </c>
      <c r="BB5" s="71" t="s">
        <v>215</v>
      </c>
      <c r="BC5" s="71" t="s">
        <v>216</v>
      </c>
      <c r="BD5" s="71" t="s">
        <v>217</v>
      </c>
      <c r="BE5" s="71" t="s">
        <v>218</v>
      </c>
      <c r="BF5" s="72" t="s">
        <v>219</v>
      </c>
      <c r="BG5" s="72" t="s">
        <v>298</v>
      </c>
      <c r="BH5" s="72" t="s">
        <v>299</v>
      </c>
      <c r="BI5" s="72" t="s">
        <v>222</v>
      </c>
      <c r="BJ5" s="72" t="s">
        <v>223</v>
      </c>
      <c r="BK5" s="72" t="s">
        <v>224</v>
      </c>
      <c r="BL5" s="72" t="s">
        <v>225</v>
      </c>
      <c r="BM5" s="72" t="s">
        <v>226</v>
      </c>
      <c r="BN5" s="72" t="s">
        <v>227</v>
      </c>
      <c r="BO5" s="73" t="s">
        <v>304</v>
      </c>
      <c r="BP5" s="74"/>
      <c r="BQ5" s="74"/>
      <c r="ALI5" s="74"/>
      <c r="ALJ5" s="74"/>
      <c r="ALK5" s="74"/>
      <c r="ALL5" s="74"/>
      <c r="ALM5" s="74"/>
      <c r="ALN5" s="74"/>
      <c r="ALO5" s="74"/>
      <c r="ALP5" s="74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2.7" customHeight="1" x14ac:dyDescent="0.2">
      <c r="A6" s="221" t="s">
        <v>229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76"/>
      <c r="R6" s="76"/>
      <c r="S6" s="76"/>
      <c r="T6" s="77"/>
      <c r="U6" s="77"/>
      <c r="V6" s="77"/>
      <c r="W6" s="77"/>
      <c r="X6" s="77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 t="s">
        <v>231</v>
      </c>
      <c r="AP6" s="78"/>
      <c r="AQ6" s="78" t="s">
        <v>232</v>
      </c>
      <c r="AR6" s="78" t="s">
        <v>233</v>
      </c>
      <c r="AS6" s="78" t="s">
        <v>234</v>
      </c>
      <c r="AT6" s="78" t="s">
        <v>235</v>
      </c>
      <c r="AU6" s="78" t="s">
        <v>236</v>
      </c>
      <c r="AV6" s="78" t="s">
        <v>237</v>
      </c>
      <c r="AW6" s="78" t="s">
        <v>238</v>
      </c>
      <c r="AX6" s="78" t="s">
        <v>239</v>
      </c>
      <c r="AY6" s="78" t="s">
        <v>240</v>
      </c>
      <c r="AZ6" s="78"/>
      <c r="BA6" s="78"/>
      <c r="BB6" s="78"/>
      <c r="BC6" s="78"/>
      <c r="BD6" s="78"/>
      <c r="BE6" s="78"/>
      <c r="BF6" s="78" t="s">
        <v>241</v>
      </c>
      <c r="BG6" s="78" t="s">
        <v>242</v>
      </c>
      <c r="BH6" s="78" t="s">
        <v>243</v>
      </c>
      <c r="BI6" s="78" t="s">
        <v>244</v>
      </c>
      <c r="BJ6" s="78" t="s">
        <v>245</v>
      </c>
      <c r="BK6" s="78" t="s">
        <v>246</v>
      </c>
      <c r="BL6" s="78" t="s">
        <v>247</v>
      </c>
      <c r="BM6" s="78" t="s">
        <v>248</v>
      </c>
      <c r="BN6" s="78" t="s">
        <v>248</v>
      </c>
      <c r="BO6" s="78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</row>
    <row r="7" spans="1:1024" ht="22.9" customHeight="1" x14ac:dyDescent="0.25">
      <c r="A7" s="93">
        <v>1</v>
      </c>
      <c r="B7" s="94"/>
      <c r="C7" s="95"/>
      <c r="D7" s="95"/>
      <c r="E7" s="96"/>
      <c r="F7" s="95"/>
      <c r="G7" s="95"/>
      <c r="H7" s="95"/>
      <c r="I7" s="95"/>
      <c r="J7" s="95"/>
      <c r="K7" s="84"/>
      <c r="L7" s="84">
        <f>IF(K7&gt;0,((YEARFRAC(E7,$H$1,3))),0)</f>
        <v>0</v>
      </c>
      <c r="M7" s="81"/>
      <c r="N7" s="84">
        <f>+L7+M7</f>
        <v>0</v>
      </c>
      <c r="O7" s="81"/>
      <c r="P7" s="85">
        <f>+IF(AND(E7&gt;0,OR(MONTH($H$2)=3,MONTH($H$2)=6,MONTH($H$2)=9,MONTH($H$2)=12),MONTH(E7)&lt;=MONTH($H$2),MONTH(E7)&gt;=MONTH($H$2)-2),VLOOKUP(DAYS360(E7,$H$2),'1.DATOS'!$G$27:$I$42,2),0)</f>
        <v>0</v>
      </c>
      <c r="Q7" s="81"/>
      <c r="R7" s="81"/>
      <c r="S7" s="81"/>
      <c r="T7" s="81"/>
      <c r="U7" s="81"/>
      <c r="V7" s="81"/>
      <c r="W7" s="81"/>
      <c r="X7" s="81"/>
      <c r="Y7" s="98">
        <f>+K7</f>
        <v>0</v>
      </c>
      <c r="Z7" s="98">
        <v>0</v>
      </c>
      <c r="AA7" s="98">
        <v>0</v>
      </c>
      <c r="AB7" s="98">
        <v>0</v>
      </c>
      <c r="AC7" s="98">
        <v>0</v>
      </c>
      <c r="AD7" s="87">
        <f>IF(Y7&gt;0,(('1.DATOS'!D10*$AD$2)*V7),0)</f>
        <v>0</v>
      </c>
      <c r="AE7" s="87" t="b">
        <f>+IF(Y7&gt;0,IF(OR(I7="TIEMPO COMPLETO",I7="Dedicación Exclusiva"),(('1.DATOS'!D10*$AE$2)),0))</f>
        <v>0</v>
      </c>
      <c r="AF7" s="87" t="b">
        <f>+IF(Y7&gt;0,IF(OR(I7='2.CARGOS-SALARIOS'!J13,I7='2.CARGOS-SALARIOS'!J14),'1.DATOS'!D10*$AF$2,"No Apĺica"))</f>
        <v>0</v>
      </c>
      <c r="AG7" s="87" t="b">
        <f>+IF(Y7&gt;0,IF(OR(G7='1.DATOS'!H15,G7='1.DATOS'!H16),Y7*VLOOKUP(X7,'1.DATOS'!C14:E22,3,0),"No Aplica"))</f>
        <v>0</v>
      </c>
      <c r="AH7" s="98" t="b">
        <f>+IF(Y7&gt;0,Y7*0.015*N7)</f>
        <v>0</v>
      </c>
      <c r="AI7" s="98" t="str">
        <f>+IF(AND(Y7&gt;0,G7='1.DATOS'!$H$16,J7="SI"),'1.DATOS'!$D$10*$AI$2,"No Aplica")</f>
        <v>No Aplica</v>
      </c>
      <c r="AJ7" s="98" t="str">
        <f>+IF(AND(Y7&gt;0,G7='1.DATOS'!$H$14,X7='1.DATOS'!$C$19),Y7*'1.DATOS'!$E$19,"No Aplica")</f>
        <v>No Aplica</v>
      </c>
      <c r="AK7" s="98" t="str">
        <f>+IF(AND(Y7&gt;0,G7='1.DATOS'!$H$14,X7='1.DATOS'!$C$20),Y7*'1.DATOS'!$E$20,"No Aplica")</f>
        <v>No Aplica</v>
      </c>
      <c r="AL7" s="98" t="str">
        <f>+IF(AND(Y7&gt;0,G7='1.DATOS'!$H$14,X7='1.DATOS'!$C$21),Y7*'1.DATOS'!$E$21,"No Aplica")</f>
        <v>No Aplica</v>
      </c>
      <c r="AM7" s="98"/>
      <c r="AN7" s="98">
        <f>SUM(Y7:AM7)</f>
        <v>0</v>
      </c>
      <c r="AO7" s="100" t="b">
        <f>+IF(Y7&gt;0,('1.DATOS'!$D$10*'1.DATOS'!$F$10*'1.DATOS'!$G$10)*VLOOKUP(I7,'1.DATOS'!$H$47:$I$60,2,FALSE()))</f>
        <v>0</v>
      </c>
      <c r="AP7" s="100">
        <v>0</v>
      </c>
      <c r="AQ7" s="100">
        <f>+((((AN7+AW7)+(AN7+AW7)/30*120/12))/30*105)*0</f>
        <v>0</v>
      </c>
      <c r="AR7" s="100">
        <f>+((((AN7+AW7)+(AN7+AW7)/30*105/12))/30*120)*0</f>
        <v>0</v>
      </c>
      <c r="AS7" s="100">
        <f>+((AN7*12)/52)*'1.DATOS'!$J$10</f>
        <v>0</v>
      </c>
      <c r="AT7" s="100">
        <f>+AN7*'1.DATOS'!$J$11</f>
        <v>0</v>
      </c>
      <c r="AU7" s="100">
        <f>((AN7*12)/52)*'1.DATOS'!$J$13</f>
        <v>0</v>
      </c>
      <c r="AV7" s="100">
        <f>+AN7*'1.DATOS'!$J$12</f>
        <v>0</v>
      </c>
      <c r="AW7" s="100">
        <f>+AN7*'1.DATOS'!$J$14</f>
        <v>0</v>
      </c>
      <c r="AX7" s="100">
        <f>+IF(OR('1.DATOS'!$D$4='1.DATOS'!$C$28,'1.DATOS'!$D$4='1.DATOS'!$C$31,'1.DATOS'!$D$4='1.DATOS'!$C$34,'1.DATOS'!$D$4='1.DATOS'!$C$37),AN7/30*530/360,"Falso")</f>
        <v>0</v>
      </c>
      <c r="AY7" s="100">
        <v>0</v>
      </c>
      <c r="AZ7" s="100" t="b">
        <f>+IF(AN7&gt;0,IF(OR(I7="TIEMPO COMPLETO",I7="Dedicación Exclusiva"),($AZ$2*'1.DATOS'!$D$10*T7)))</f>
        <v>0</v>
      </c>
      <c r="BA7" s="100">
        <v>0</v>
      </c>
      <c r="BB7" s="100">
        <v>0</v>
      </c>
      <c r="BC7" s="100">
        <v>0</v>
      </c>
      <c r="BD7" s="100">
        <v>0</v>
      </c>
      <c r="BE7" s="88" t="b">
        <f>+IF(Y7&gt;0,IF(OR(I7="TIEMPO COMPLETO",I7="Dedicación Exclusiva"),('1.DATOS'!$C$10*$BE$2)*U7))</f>
        <v>0</v>
      </c>
      <c r="BF7" s="100">
        <f>+AN7*0.01</f>
        <v>0</v>
      </c>
      <c r="BG7" s="100">
        <v>0</v>
      </c>
      <c r="BH7" s="100">
        <v>0</v>
      </c>
      <c r="BI7" s="100">
        <v>0</v>
      </c>
      <c r="BJ7" s="100">
        <f>+(BH7+BI7)*0.12</f>
        <v>0</v>
      </c>
      <c r="BK7" s="100">
        <v>0</v>
      </c>
      <c r="BL7" s="100">
        <v>0</v>
      </c>
      <c r="BM7" s="100">
        <v>0</v>
      </c>
      <c r="BN7" s="100">
        <v>0</v>
      </c>
      <c r="BO7" s="65">
        <f>+SUM(AN7:BN7)</f>
        <v>0</v>
      </c>
      <c r="BP7" s="101"/>
      <c r="ALI7" s="54"/>
      <c r="ALJ7" s="54"/>
      <c r="ALK7" s="54"/>
      <c r="ALL7" s="54"/>
      <c r="ALM7" s="54"/>
      <c r="ALN7" s="54"/>
      <c r="ALO7" s="54"/>
      <c r="ALP7" s="54"/>
      <c r="ALQ7" s="54"/>
      <c r="ALR7" s="54"/>
    </row>
    <row r="8" spans="1:1024" ht="22.9" customHeight="1" x14ac:dyDescent="0.25">
      <c r="A8" s="93">
        <f>+A7+1</f>
        <v>2</v>
      </c>
      <c r="B8" s="94"/>
      <c r="C8" s="95"/>
      <c r="D8" s="95"/>
      <c r="E8" s="96"/>
      <c r="F8" s="95"/>
      <c r="G8" s="95"/>
      <c r="H8" s="95"/>
      <c r="I8" s="95"/>
      <c r="J8" s="95"/>
      <c r="K8" s="84"/>
      <c r="L8" s="84">
        <f>IF(K8&gt;0,((YEARFRAC(E8,$H$1,3))),0)</f>
        <v>0</v>
      </c>
      <c r="M8" s="81"/>
      <c r="N8" s="84">
        <f>+L8+M8</f>
        <v>0</v>
      </c>
      <c r="O8" s="81"/>
      <c r="P8" s="85">
        <f>+IF(AND(E8&gt;0,OR(MONTH($H$2)=3,MONTH($H$2)=6,MONTH($H$2)=9,MONTH($H$2)=12),MONTH(E8)&lt;=MONTH($H$2),MONTH(E8)&gt;=MONTH($H$2)-2),VLOOKUP(DAYS360(E8,$H$2),'1.DATOS'!$G$27:$I$42,2),0)</f>
        <v>0</v>
      </c>
      <c r="Q8" s="81"/>
      <c r="R8" s="81"/>
      <c r="S8" s="81"/>
      <c r="T8" s="81"/>
      <c r="U8" s="81"/>
      <c r="V8" s="81"/>
      <c r="W8" s="81"/>
      <c r="X8" s="81"/>
      <c r="Y8" s="98">
        <f>+K8</f>
        <v>0</v>
      </c>
      <c r="Z8" s="98">
        <v>0</v>
      </c>
      <c r="AA8" s="98">
        <v>0</v>
      </c>
      <c r="AB8" s="98">
        <v>0</v>
      </c>
      <c r="AC8" s="98">
        <v>0</v>
      </c>
      <c r="AD8" s="87">
        <f>IF(Y8&gt;0,(('1.DATOS'!D11*$AD$2)*V8),0)</f>
        <v>0</v>
      </c>
      <c r="AE8" s="87" t="b">
        <f>+IF(Y8&gt;0,IF(OR(I8="TIEMPO COMPLETO",I8="Dedicación Exclusiva"),(('1.DATOS'!D11*$AE$2)),0))</f>
        <v>0</v>
      </c>
      <c r="AF8" s="87" t="b">
        <f>+IF(Y8&gt;0,IF(OR(I8='2.CARGOS-SALARIOS'!J14,I8='2.CARGOS-SALARIOS'!J15),'1.DATOS'!D11*$AF$2,"No Apĺica"))</f>
        <v>0</v>
      </c>
      <c r="AG8" s="87" t="b">
        <f>+IF(Y8&gt;0,IF(OR(G8='1.DATOS'!H16,G8='1.DATOS'!H17),Y8*VLOOKUP(X8,'1.DATOS'!C15:E23,3,0),"No Aplica"))</f>
        <v>0</v>
      </c>
      <c r="AH8" s="98" t="b">
        <f>+IF(Y8&gt;0,Y8*0.015*N8)</f>
        <v>0</v>
      </c>
      <c r="AI8" s="98" t="str">
        <f>+IF(AND(Y8&gt;0,G8='1.DATOS'!$H$16,J8="SI"),'1.DATOS'!$D$10*$AI$2,"No Aplica")</f>
        <v>No Aplica</v>
      </c>
      <c r="AJ8" s="98" t="str">
        <f>+IF(AND(Y8&gt;0,G8='1.DATOS'!$H$14,X8='1.DATOS'!$C$19),Y8*'1.DATOS'!$E$19,"No Aplica")</f>
        <v>No Aplica</v>
      </c>
      <c r="AK8" s="98" t="str">
        <f>+IF(AND(Y8&gt;0,G8='1.DATOS'!$H$14,X8='1.DATOS'!$C$20),Y8*'1.DATOS'!$E$20,"No Aplica")</f>
        <v>No Aplica</v>
      </c>
      <c r="AL8" s="98" t="str">
        <f>+IF(AND(Y8&gt;0,G8='1.DATOS'!$H$14,X8='1.DATOS'!$C$21),Y8*'1.DATOS'!$E$21,"No Aplica")</f>
        <v>No Aplica</v>
      </c>
      <c r="AM8" s="98"/>
      <c r="AN8" s="98">
        <f>SUM(Y8:AM8)</f>
        <v>0</v>
      </c>
      <c r="AO8" s="100" t="b">
        <f>+IF(Y8&gt;0,('1.DATOS'!$D$10*'1.DATOS'!$F$10*'1.DATOS'!$G$10)*VLOOKUP(I8,'1.DATOS'!$H$47:$I$60,2,FALSE()))</f>
        <v>0</v>
      </c>
      <c r="AP8" s="100">
        <v>0</v>
      </c>
      <c r="AQ8" s="100">
        <f>+((((AN8+AW8)+(AN8+AW8)/30*120/12))/30*105)*0</f>
        <v>0</v>
      </c>
      <c r="AR8" s="100">
        <f>+((((AN8+AW8)+(AN8+AW8)/30*105/12))/30*120)*0</f>
        <v>0</v>
      </c>
      <c r="AS8" s="100">
        <f>+((AN8*12)/52)*'1.DATOS'!$J$10</f>
        <v>0</v>
      </c>
      <c r="AT8" s="100">
        <f>+AN8*'1.DATOS'!$J$11</f>
        <v>0</v>
      </c>
      <c r="AU8" s="100">
        <f>((AN8*12)/52)*'1.DATOS'!$J$13</f>
        <v>0</v>
      </c>
      <c r="AV8" s="100">
        <f>+AN8*'1.DATOS'!$J$12</f>
        <v>0</v>
      </c>
      <c r="AW8" s="100">
        <f>+AN8*'1.DATOS'!$J$14</f>
        <v>0</v>
      </c>
      <c r="AX8" s="100">
        <f>+IF(OR('1.DATOS'!$D$4='1.DATOS'!$C$28,'1.DATOS'!$D$4='1.DATOS'!$C$31,'1.DATOS'!$D$4='1.DATOS'!$C$34,'1.DATOS'!$D$4='1.DATOS'!$C$37),AN8/30*530/360,"Falso")</f>
        <v>0</v>
      </c>
      <c r="AY8" s="100">
        <v>0</v>
      </c>
      <c r="AZ8" s="100" t="b">
        <f>+IF(AN8&gt;0,IF(OR(I8="TIEMPO COMPLETO",I8="Dedicación Exclusiva"),($AZ$2*'1.DATOS'!$D$10*T8)))</f>
        <v>0</v>
      </c>
      <c r="BA8" s="100">
        <v>0</v>
      </c>
      <c r="BB8" s="100">
        <v>0</v>
      </c>
      <c r="BC8" s="100">
        <v>0</v>
      </c>
      <c r="BD8" s="100">
        <v>0</v>
      </c>
      <c r="BE8" s="88" t="b">
        <f>+IF(Y8&gt;0,IF(OR(I8="TIEMPO COMPLETO",I8="Dedicación Exclusiva"),('1.DATOS'!$C$10*$BE$2)*U8))</f>
        <v>0</v>
      </c>
      <c r="BF8" s="100">
        <f>+AN8*0.01</f>
        <v>0</v>
      </c>
      <c r="BG8" s="100">
        <v>0</v>
      </c>
      <c r="BH8" s="100">
        <v>0</v>
      </c>
      <c r="BI8" s="100">
        <v>0</v>
      </c>
      <c r="BJ8" s="100">
        <f>+(BH8+BI8)*0.12</f>
        <v>0</v>
      </c>
      <c r="BK8" s="100">
        <v>0</v>
      </c>
      <c r="BL8" s="100">
        <v>0</v>
      </c>
      <c r="BM8" s="100">
        <v>0</v>
      </c>
      <c r="BN8" s="100">
        <v>0</v>
      </c>
      <c r="BO8" s="65">
        <f>+SUM(AN8:BN8)</f>
        <v>0</v>
      </c>
      <c r="BP8" s="101"/>
      <c r="ALI8" s="54"/>
      <c r="ALJ8" s="54"/>
      <c r="ALK8" s="54"/>
      <c r="ALL8" s="54"/>
      <c r="ALM8" s="54"/>
      <c r="ALN8" s="54"/>
      <c r="ALO8" s="54"/>
      <c r="ALP8" s="54"/>
      <c r="ALQ8" s="54"/>
      <c r="ALR8" s="54"/>
    </row>
    <row r="9" spans="1:1024" ht="22.9" customHeight="1" x14ac:dyDescent="0.25">
      <c r="A9" s="93">
        <f>+A8+1</f>
        <v>3</v>
      </c>
      <c r="B9" s="94"/>
      <c r="C9" s="95"/>
      <c r="D9" s="95"/>
      <c r="E9" s="96"/>
      <c r="F9" s="95"/>
      <c r="G9" s="95"/>
      <c r="H9" s="95"/>
      <c r="I9" s="95"/>
      <c r="J9" s="95"/>
      <c r="K9" s="84"/>
      <c r="L9" s="84">
        <f>IF(K9&gt;0,((YEARFRAC(E9,$H$1,3))),0)</f>
        <v>0</v>
      </c>
      <c r="M9" s="81"/>
      <c r="N9" s="84">
        <f>+L9+M9</f>
        <v>0</v>
      </c>
      <c r="O9" s="81"/>
      <c r="P9" s="85">
        <f>+IF(AND(E9&gt;0,OR(MONTH($H$2)=3,MONTH($H$2)=6,MONTH($H$2)=9,MONTH($H$2)=12),MONTH(E9)&lt;=MONTH($H$2),MONTH(E9)&gt;=MONTH($H$2)-2),VLOOKUP(DAYS360(E9,$H$2),'1.DATOS'!$G$27:$I$42,2),0)</f>
        <v>0</v>
      </c>
      <c r="Q9" s="81"/>
      <c r="R9" s="81"/>
      <c r="S9" s="81"/>
      <c r="T9" s="81"/>
      <c r="U9" s="81"/>
      <c r="V9" s="81"/>
      <c r="W9" s="81"/>
      <c r="X9" s="81"/>
      <c r="Y9" s="98">
        <f>+K9</f>
        <v>0</v>
      </c>
      <c r="Z9" s="98">
        <v>0</v>
      </c>
      <c r="AA9" s="98">
        <v>0</v>
      </c>
      <c r="AB9" s="98">
        <v>0</v>
      </c>
      <c r="AC9" s="98">
        <v>0</v>
      </c>
      <c r="AD9" s="87">
        <f>IF(Y9&gt;0,(('1.DATOS'!D12*$AD$2)*V9),0)</f>
        <v>0</v>
      </c>
      <c r="AE9" s="87" t="b">
        <f>+IF(Y9&gt;0,IF(OR(I9="TIEMPO COMPLETO",I9="Dedicación Exclusiva"),(('1.DATOS'!D12*$AE$2)),0))</f>
        <v>0</v>
      </c>
      <c r="AF9" s="87" t="b">
        <f>+IF(Y9&gt;0,IF(OR(I9='2.CARGOS-SALARIOS'!J15,I9='2.CARGOS-SALARIOS'!J16),'1.DATOS'!D12*$AF$2,"No Apĺica"))</f>
        <v>0</v>
      </c>
      <c r="AG9" s="87" t="b">
        <f>+IF(Y9&gt;0,IF(OR(G9='1.DATOS'!H17,G9='1.DATOS'!H18),Y9*VLOOKUP(X9,'1.DATOS'!C16:E24,3,0),"No Aplica"))</f>
        <v>0</v>
      </c>
      <c r="AH9" s="98" t="b">
        <f>+IF(Y9&gt;0,Y9*0.015*N9)</f>
        <v>0</v>
      </c>
      <c r="AI9" s="98" t="str">
        <f>+IF(AND(Y9&gt;0,G9='1.DATOS'!$H$16,J9="SI"),'1.DATOS'!$D$10*$AI$2,"No Aplica")</f>
        <v>No Aplica</v>
      </c>
      <c r="AJ9" s="98" t="str">
        <f>+IF(AND(Y9&gt;0,G9='1.DATOS'!$H$14,X9='1.DATOS'!$C$19),Y9*'1.DATOS'!$E$19,"No Aplica")</f>
        <v>No Aplica</v>
      </c>
      <c r="AK9" s="98" t="str">
        <f>+IF(AND(Y9&gt;0,G9='1.DATOS'!$H$14,X9='1.DATOS'!$C$20),Y9*'1.DATOS'!$E$20,"No Aplica")</f>
        <v>No Aplica</v>
      </c>
      <c r="AL9" s="98" t="str">
        <f>+IF(AND(Y9&gt;0,G9='1.DATOS'!$H$14,X9='1.DATOS'!$C$21),Y9*'1.DATOS'!$E$21,"No Aplica")</f>
        <v>No Aplica</v>
      </c>
      <c r="AM9" s="98"/>
      <c r="AN9" s="98">
        <f>SUM(Y9:AM9)</f>
        <v>0</v>
      </c>
      <c r="AO9" s="100" t="b">
        <f>+IF(Y9&gt;0,('1.DATOS'!$D$10*'1.DATOS'!$F$10*'1.DATOS'!$G$10)*VLOOKUP(I9,'1.DATOS'!$H$47:$I$60,2,FALSE()))</f>
        <v>0</v>
      </c>
      <c r="AP9" s="100">
        <v>0</v>
      </c>
      <c r="AQ9" s="100">
        <f>+((((AN9+AW9)+(AN9+AW9)/30*120/12))/30*105)*0</f>
        <v>0</v>
      </c>
      <c r="AR9" s="100">
        <f>+((((AN9+AW9)+(AN9+AW9)/30*105/12))/30*120)*0</f>
        <v>0</v>
      </c>
      <c r="AS9" s="100">
        <f>+((AN9*12)/52)*'1.DATOS'!$J$10</f>
        <v>0</v>
      </c>
      <c r="AT9" s="100">
        <f>+AN9*'1.DATOS'!$J$11</f>
        <v>0</v>
      </c>
      <c r="AU9" s="100">
        <f>((AN9*12)/52)*'1.DATOS'!$J$13</f>
        <v>0</v>
      </c>
      <c r="AV9" s="100">
        <f>+AN9*'1.DATOS'!$J$12</f>
        <v>0</v>
      </c>
      <c r="AW9" s="100">
        <f>+AN9*'1.DATOS'!$J$14</f>
        <v>0</v>
      </c>
      <c r="AX9" s="100">
        <f>+IF(OR('1.DATOS'!$D$4='1.DATOS'!$C$28,'1.DATOS'!$D$4='1.DATOS'!$C$31,'1.DATOS'!$D$4='1.DATOS'!$C$34,'1.DATOS'!$D$4='1.DATOS'!$C$37),AN9/30*530/360,"Falso")</f>
        <v>0</v>
      </c>
      <c r="AY9" s="100">
        <v>0</v>
      </c>
      <c r="AZ9" s="100" t="b">
        <f>+IF(AN9&gt;0,IF(OR(I9="TIEMPO COMPLETO",I9="Dedicación Exclusiva"),($AZ$2*'1.DATOS'!$D$10*T9)))</f>
        <v>0</v>
      </c>
      <c r="BA9" s="100">
        <v>0</v>
      </c>
      <c r="BB9" s="100">
        <v>0</v>
      </c>
      <c r="BC9" s="100">
        <v>0</v>
      </c>
      <c r="BD9" s="100">
        <v>0</v>
      </c>
      <c r="BE9" s="88" t="b">
        <f>+IF(Y9&gt;0,IF(OR(I9="TIEMPO COMPLETO",I9="Dedicación Exclusiva"),('1.DATOS'!$C$10*$BE$2)*U9))</f>
        <v>0</v>
      </c>
      <c r="BF9" s="100">
        <f>+AN9*0.01</f>
        <v>0</v>
      </c>
      <c r="BG9" s="100">
        <v>0</v>
      </c>
      <c r="BH9" s="100">
        <v>0</v>
      </c>
      <c r="BI9" s="100">
        <v>0</v>
      </c>
      <c r="BJ9" s="100">
        <f>+(BH9+BI9)*0.12</f>
        <v>0</v>
      </c>
      <c r="BK9" s="100">
        <v>0</v>
      </c>
      <c r="BL9" s="100">
        <v>0</v>
      </c>
      <c r="BM9" s="100">
        <v>0</v>
      </c>
      <c r="BN9" s="100">
        <v>0</v>
      </c>
      <c r="BO9" s="65">
        <f>+SUM(AN9:BN9)</f>
        <v>0</v>
      </c>
      <c r="BP9" s="101"/>
      <c r="ALI9" s="54"/>
      <c r="ALJ9" s="54"/>
      <c r="ALK9" s="54"/>
      <c r="ALL9" s="54"/>
      <c r="ALM9" s="54"/>
      <c r="ALN9" s="54"/>
      <c r="ALO9" s="54"/>
      <c r="ALP9" s="54"/>
      <c r="ALQ9" s="54"/>
      <c r="ALR9" s="54"/>
    </row>
    <row r="10" spans="1:1024" ht="15.75" x14ac:dyDescent="0.25">
      <c r="A10" s="93"/>
      <c r="B10" s="94"/>
      <c r="C10" s="95"/>
      <c r="D10" s="95"/>
      <c r="E10" s="96"/>
      <c r="F10" s="95"/>
      <c r="G10" s="95"/>
      <c r="H10" s="95"/>
      <c r="I10" s="95"/>
      <c r="J10" s="95"/>
      <c r="K10" s="84"/>
      <c r="L10" s="84"/>
      <c r="M10" s="81"/>
      <c r="N10" s="84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98"/>
      <c r="Z10" s="98"/>
      <c r="AA10" s="98"/>
      <c r="AB10" s="98"/>
      <c r="AC10" s="98"/>
      <c r="AD10" s="98"/>
      <c r="AE10" s="98"/>
      <c r="AF10" s="99"/>
      <c r="AG10" s="98"/>
      <c r="AH10" s="98"/>
      <c r="AI10" s="98"/>
      <c r="AJ10" s="98"/>
      <c r="AK10" s="98"/>
      <c r="AL10" s="98"/>
      <c r="AM10" s="98"/>
      <c r="AN10" s="98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65"/>
      <c r="BP10" s="101"/>
      <c r="ALI10" s="54"/>
      <c r="ALJ10" s="54"/>
      <c r="ALK10" s="54"/>
      <c r="ALL10" s="54"/>
      <c r="ALM10" s="54"/>
      <c r="ALN10" s="54"/>
      <c r="ALO10" s="54"/>
      <c r="ALP10" s="54"/>
      <c r="ALQ10" s="54"/>
      <c r="ALR10" s="54"/>
    </row>
    <row r="11" spans="1:1024" ht="21.95" customHeight="1" x14ac:dyDescent="0.25">
      <c r="A11" s="241" t="s">
        <v>130</v>
      </c>
      <c r="B11" s="241"/>
      <c r="C11" s="241"/>
      <c r="D11" s="241"/>
      <c r="E11" s="241"/>
      <c r="F11" s="241"/>
      <c r="G11" s="241"/>
      <c r="H11" s="241"/>
      <c r="I11" s="241"/>
      <c r="J11" s="241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Q11"/>
    </row>
    <row r="12" spans="1:1024" ht="15.75" x14ac:dyDescent="0.2">
      <c r="A12" s="104"/>
      <c r="B12" s="104"/>
      <c r="C12" s="104"/>
      <c r="D12" s="104"/>
      <c r="E12" s="104"/>
      <c r="F12" s="105"/>
      <c r="G12" s="105"/>
      <c r="H12" s="105"/>
      <c r="I12" s="105"/>
      <c r="J12" s="10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Q12"/>
    </row>
    <row r="13" spans="1:1024" x14ac:dyDescent="0.2">
      <c r="H13"/>
      <c r="I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Q13"/>
    </row>
    <row r="14" spans="1:1024" x14ac:dyDescent="0.2">
      <c r="H14"/>
      <c r="I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Q14"/>
    </row>
    <row r="15" spans="1:1024" ht="18" x14ac:dyDescent="0.25">
      <c r="H15" s="110" t="s">
        <v>249</v>
      </c>
      <c r="I15" s="111">
        <f>+COUNTA(B7:B10)</f>
        <v>0</v>
      </c>
      <c r="K15" s="112">
        <f t="shared" ref="K15:AP15" si="0">SUM(K7:K10)</f>
        <v>0</v>
      </c>
      <c r="L15" s="112">
        <f t="shared" si="0"/>
        <v>0</v>
      </c>
      <c r="M15" s="112">
        <f t="shared" si="0"/>
        <v>0</v>
      </c>
      <c r="N15" s="112">
        <f t="shared" si="0"/>
        <v>0</v>
      </c>
      <c r="O15" s="112">
        <f t="shared" si="0"/>
        <v>0</v>
      </c>
      <c r="P15" s="112">
        <f t="shared" si="0"/>
        <v>0</v>
      </c>
      <c r="Q15" s="112">
        <f t="shared" si="0"/>
        <v>0</v>
      </c>
      <c r="R15" s="112">
        <f t="shared" si="0"/>
        <v>0</v>
      </c>
      <c r="S15" s="112">
        <f t="shared" si="0"/>
        <v>0</v>
      </c>
      <c r="T15" s="112">
        <f t="shared" si="0"/>
        <v>0</v>
      </c>
      <c r="U15" s="112">
        <f t="shared" si="0"/>
        <v>0</v>
      </c>
      <c r="V15" s="112">
        <f t="shared" si="0"/>
        <v>0</v>
      </c>
      <c r="W15" s="112">
        <f t="shared" si="0"/>
        <v>0</v>
      </c>
      <c r="X15" s="112">
        <f t="shared" si="0"/>
        <v>0</v>
      </c>
      <c r="Y15" s="112">
        <f t="shared" si="0"/>
        <v>0</v>
      </c>
      <c r="Z15" s="112">
        <f t="shared" si="0"/>
        <v>0</v>
      </c>
      <c r="AA15" s="112">
        <f t="shared" si="0"/>
        <v>0</v>
      </c>
      <c r="AB15" s="112">
        <f t="shared" si="0"/>
        <v>0</v>
      </c>
      <c r="AC15" s="112">
        <f t="shared" si="0"/>
        <v>0</v>
      </c>
      <c r="AD15" s="112">
        <f t="shared" si="0"/>
        <v>0</v>
      </c>
      <c r="AE15" s="112">
        <f t="shared" si="0"/>
        <v>0</v>
      </c>
      <c r="AF15" s="112">
        <f t="shared" si="0"/>
        <v>0</v>
      </c>
      <c r="AG15" s="112">
        <f t="shared" si="0"/>
        <v>0</v>
      </c>
      <c r="AH15" s="112">
        <f t="shared" si="0"/>
        <v>0</v>
      </c>
      <c r="AI15" s="112">
        <f t="shared" si="0"/>
        <v>0</v>
      </c>
      <c r="AJ15" s="112">
        <f t="shared" si="0"/>
        <v>0</v>
      </c>
      <c r="AK15" s="112">
        <f t="shared" si="0"/>
        <v>0</v>
      </c>
      <c r="AL15" s="112">
        <f t="shared" si="0"/>
        <v>0</v>
      </c>
      <c r="AM15" s="112">
        <f t="shared" si="0"/>
        <v>0</v>
      </c>
      <c r="AN15" s="112">
        <f t="shared" si="0"/>
        <v>0</v>
      </c>
      <c r="AO15" s="112">
        <f t="shared" si="0"/>
        <v>0</v>
      </c>
      <c r="AP15" s="112">
        <f t="shared" si="0"/>
        <v>0</v>
      </c>
      <c r="AQ15" s="112">
        <f t="shared" ref="AQ15:BO15" si="1">SUM(AQ7:AQ10)</f>
        <v>0</v>
      </c>
      <c r="AR15" s="112">
        <f t="shared" si="1"/>
        <v>0</v>
      </c>
      <c r="AS15" s="112">
        <f t="shared" si="1"/>
        <v>0</v>
      </c>
      <c r="AT15" s="112">
        <f t="shared" si="1"/>
        <v>0</v>
      </c>
      <c r="AU15" s="112">
        <f t="shared" si="1"/>
        <v>0</v>
      </c>
      <c r="AV15" s="112">
        <f t="shared" si="1"/>
        <v>0</v>
      </c>
      <c r="AW15" s="112">
        <f t="shared" si="1"/>
        <v>0</v>
      </c>
      <c r="AX15" s="112">
        <f t="shared" si="1"/>
        <v>0</v>
      </c>
      <c r="AY15" s="112">
        <f t="shared" si="1"/>
        <v>0</v>
      </c>
      <c r="AZ15" s="112">
        <f t="shared" si="1"/>
        <v>0</v>
      </c>
      <c r="BA15" s="112">
        <f t="shared" si="1"/>
        <v>0</v>
      </c>
      <c r="BB15" s="112">
        <f t="shared" si="1"/>
        <v>0</v>
      </c>
      <c r="BC15" s="112">
        <f t="shared" si="1"/>
        <v>0</v>
      </c>
      <c r="BD15" s="112">
        <f t="shared" si="1"/>
        <v>0</v>
      </c>
      <c r="BE15" s="112">
        <f t="shared" si="1"/>
        <v>0</v>
      </c>
      <c r="BF15" s="112">
        <f t="shared" si="1"/>
        <v>0</v>
      </c>
      <c r="BG15" s="112">
        <f t="shared" si="1"/>
        <v>0</v>
      </c>
      <c r="BH15" s="112">
        <f t="shared" si="1"/>
        <v>0</v>
      </c>
      <c r="BI15" s="112">
        <f t="shared" si="1"/>
        <v>0</v>
      </c>
      <c r="BJ15" s="112">
        <f t="shared" si="1"/>
        <v>0</v>
      </c>
      <c r="BK15" s="112">
        <f t="shared" si="1"/>
        <v>0</v>
      </c>
      <c r="BL15" s="112">
        <f t="shared" si="1"/>
        <v>0</v>
      </c>
      <c r="BM15" s="112">
        <f t="shared" si="1"/>
        <v>0</v>
      </c>
      <c r="BN15" s="112">
        <f t="shared" si="1"/>
        <v>0</v>
      </c>
      <c r="BO15" s="169">
        <f t="shared" si="1"/>
        <v>0</v>
      </c>
      <c r="BQ15" s="101"/>
    </row>
  </sheetData>
  <mergeCells count="27">
    <mergeCell ref="A6:P6"/>
    <mergeCell ref="A11:J11"/>
    <mergeCell ref="BF3:BL3"/>
    <mergeCell ref="BM3:BN3"/>
    <mergeCell ref="A4:K4"/>
    <mergeCell ref="L4:P4"/>
    <mergeCell ref="Q4:X4"/>
    <mergeCell ref="Y4:AC4"/>
    <mergeCell ref="AD4:AL4"/>
    <mergeCell ref="AN4:AN5"/>
    <mergeCell ref="AO4:AP4"/>
    <mergeCell ref="AQ4:AR4"/>
    <mergeCell ref="AS4:AY4"/>
    <mergeCell ref="AZ4:BE4"/>
    <mergeCell ref="BF4:BL4"/>
    <mergeCell ref="BM4:BN4"/>
    <mergeCell ref="AJ1:AL2"/>
    <mergeCell ref="AN1:AN3"/>
    <mergeCell ref="AO1:AP2"/>
    <mergeCell ref="AS1:AX2"/>
    <mergeCell ref="AB2:AC2"/>
    <mergeCell ref="AB3:AC3"/>
    <mergeCell ref="A1:F3"/>
    <mergeCell ref="G1:G3"/>
    <mergeCell ref="H1:H3"/>
    <mergeCell ref="AB1:AC1"/>
    <mergeCell ref="AG1:AH2"/>
  </mergeCells>
  <dataValidations count="1">
    <dataValidation type="list" operator="equal" allowBlank="1" showErrorMessage="1" sqref="J7:J10">
      <formula1>"SI,NO"</formula1>
      <formula2>0</formula2>
    </dataValidation>
  </dataValidations>
  <pageMargins left="0.31527777777777799" right="0.39374999999999999" top="0.74791666666666701" bottom="0.47222222222222199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equal" allowBlank="1" showErrorMessage="1">
          <x14:formula1>
            <xm:f>'1.DATOS'!$H$10:$H$11</xm:f>
          </x14:formula1>
          <x14:formula2>
            <xm:f>0</xm:f>
          </x14:formula2>
          <xm:sqref>D7:D9</xm:sqref>
        </x14:dataValidation>
        <x14:dataValidation type="list" operator="equal" allowBlank="1" showErrorMessage="1">
          <x14:formula1>
            <xm:f>'2.CARGOS-SALARIOS'!$J$13:$J$21</xm:f>
          </x14:formula1>
          <x14:formula2>
            <xm:f>0</xm:f>
          </x14:formula2>
          <xm:sqref>I7:I9</xm:sqref>
        </x14:dataValidation>
        <x14:dataValidation type="list" operator="equal" allowBlank="1" showErrorMessage="1">
          <x14:formula1>
            <xm:f>'1.DATOS'!$C$15:$C$22</xm:f>
          </x14:formula1>
          <x14:formula2>
            <xm:f>0</xm:f>
          </x14:formula2>
          <xm:sqref>X7:X9</xm:sqref>
        </x14:dataValidation>
        <x14:dataValidation type="list" operator="equal" allowBlank="1" showErrorMessage="1">
          <x14:formula1>
            <xm:f>'1.DATOS'!$G$13</xm:f>
          </x14:formula1>
          <x14:formula2>
            <xm:f>0</xm:f>
          </x14:formula2>
          <xm:sqref>F7:F9</xm:sqref>
        </x14:dataValidation>
        <x14:dataValidation type="list" operator="equal" allowBlank="1" showErrorMessage="1">
          <x14:formula1>
            <xm:f>'1.DATOS'!$H$14:$H$15</xm:f>
          </x14:formula1>
          <x14:formula2>
            <xm:f>0</xm:f>
          </x14:formula2>
          <xm:sqref>G7:G9</xm:sqref>
        </x14:dataValidation>
        <x14:dataValidation type="list" operator="equal" allowBlank="1" showErrorMessage="1">
          <x14:formula1>
            <xm:f>'2.CARGOS-SALARIOS'!$I$14:$I$36</xm:f>
          </x14:formula1>
          <x14:formula2>
            <xm:f>0</xm:f>
          </x14:formula2>
          <xm:sqref>H7:H9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LH57"/>
  <sheetViews>
    <sheetView showGridLines="0" topLeftCell="AJ1" zoomScale="60" zoomScaleNormal="60" workbookViewId="0">
      <selection activeCell="AN27" sqref="AN27"/>
    </sheetView>
  </sheetViews>
  <sheetFormatPr baseColWidth="10" defaultColWidth="9.140625" defaultRowHeight="12.75" x14ac:dyDescent="0.2"/>
  <cols>
    <col min="1" max="1" width="9.140625" style="53" customWidth="1"/>
    <col min="2" max="2" width="23.7109375" style="53" customWidth="1"/>
    <col min="3" max="3" width="33.42578125" style="53" customWidth="1"/>
    <col min="4" max="4" width="29.28515625" style="53" customWidth="1"/>
    <col min="5" max="5" width="25.42578125" style="53" customWidth="1"/>
    <col min="6" max="6" width="27.140625" style="53" customWidth="1"/>
    <col min="7" max="7" width="30.7109375" style="54" customWidth="1"/>
    <col min="8" max="8" width="36.28515625" style="54" customWidth="1"/>
    <col min="9" max="9" width="27.28515625" style="54" customWidth="1"/>
    <col min="10" max="10" width="25.42578125" style="54" customWidth="1"/>
    <col min="11" max="11" width="28" style="54" customWidth="1"/>
    <col min="12" max="12" width="23.5703125" style="54" customWidth="1"/>
    <col min="13" max="13" width="20.85546875" style="54" customWidth="1"/>
    <col min="14" max="14" width="24.85546875" style="54" customWidth="1"/>
    <col min="15" max="15" width="23.5703125" style="54" customWidth="1"/>
    <col min="16" max="16" width="25.140625" style="54" customWidth="1"/>
    <col min="17" max="23" width="21.5703125" style="54" customWidth="1"/>
    <col min="24" max="24" width="32" style="54" customWidth="1"/>
    <col min="25" max="25" width="27.42578125" style="54" customWidth="1"/>
    <col min="26" max="26" width="22.140625" style="55" customWidth="1"/>
    <col min="27" max="27" width="23.5703125" style="55" customWidth="1"/>
    <col min="28" max="28" width="22.140625" style="55" customWidth="1"/>
    <col min="29" max="29" width="23.28515625" style="55" customWidth="1"/>
    <col min="30" max="30" width="24" style="55" customWidth="1"/>
    <col min="31" max="31" width="21.42578125" style="55" customWidth="1"/>
    <col min="32" max="32" width="23.85546875" style="55" customWidth="1"/>
    <col min="33" max="33" width="22" style="55" customWidth="1"/>
    <col min="34" max="34" width="19.85546875" style="55" customWidth="1"/>
    <col min="35" max="35" width="21.28515625" style="55" customWidth="1"/>
    <col min="36" max="36" width="25.42578125" style="55" customWidth="1"/>
    <col min="37" max="37" width="26" style="55" customWidth="1"/>
    <col min="38" max="38" width="20.85546875" style="55" customWidth="1"/>
    <col min="39" max="39" width="21" style="55" customWidth="1"/>
    <col min="40" max="40" width="22.140625" style="55" customWidth="1"/>
    <col min="41" max="41" width="22.7109375" style="55" customWidth="1"/>
    <col min="42" max="42" width="23.7109375" style="55" customWidth="1"/>
    <col min="43" max="43" width="24.85546875" style="54" customWidth="1"/>
    <col min="44" max="49" width="20.85546875" style="54" customWidth="1"/>
    <col min="50" max="59" width="18.42578125" style="54" customWidth="1"/>
    <col min="60" max="990" width="9.140625" style="54" customWidth="1"/>
    <col min="991" max="1025" width="9.140625" customWidth="1"/>
  </cols>
  <sheetData>
    <row r="1" spans="1:996" ht="36.950000000000003" customHeight="1" x14ac:dyDescent="0.2">
      <c r="A1" s="5" t="s">
        <v>422</v>
      </c>
      <c r="B1" s="5"/>
      <c r="C1" s="5"/>
      <c r="D1" s="5"/>
      <c r="E1" s="5"/>
      <c r="F1" s="4" t="s">
        <v>51</v>
      </c>
      <c r="G1" s="243">
        <f>+'1.DATOS'!F4</f>
        <v>43373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996" ht="36.950000000000003" customHeight="1" x14ac:dyDescent="0.2">
      <c r="A2" s="5"/>
      <c r="B2" s="5"/>
      <c r="C2" s="5"/>
      <c r="D2" s="5"/>
      <c r="E2" s="5"/>
      <c r="F2" s="4"/>
      <c r="G2" s="24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996" ht="36.950000000000003" customHeight="1" x14ac:dyDescent="0.2">
      <c r="A3" s="5"/>
      <c r="B3" s="5"/>
      <c r="C3" s="5"/>
      <c r="D3" s="5"/>
      <c r="E3" s="5"/>
      <c r="F3" s="4"/>
      <c r="G3" s="243"/>
      <c r="H3"/>
      <c r="I3"/>
      <c r="J3"/>
      <c r="K3"/>
      <c r="L3"/>
      <c r="M3"/>
      <c r="N3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</row>
    <row r="9" spans="1:996" x14ac:dyDescent="0.2">
      <c r="A9" s="244" t="s">
        <v>131</v>
      </c>
      <c r="B9" s="244"/>
      <c r="C9" s="245" t="s">
        <v>423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996" ht="135" x14ac:dyDescent="0.2">
      <c r="A10" s="244"/>
      <c r="B10" s="244"/>
      <c r="C10" s="245"/>
      <c r="D10" s="68" t="str">
        <f>+'3.ALTONIVEL'!Y5</f>
        <v>SUELDO BÁSICO ALTO NIVEL</v>
      </c>
      <c r="E10" s="68" t="str">
        <f>+'3.ALTONIVEL'!Z5</f>
        <v>DIFERENCIAS SUELDO BASE ALTO NIVEL</v>
      </c>
      <c r="F10" s="68" t="str">
        <f>+'3.ALTONIVEL'!AA5</f>
        <v>HORAS EXTRAS DIURNAS ALTO NIVEL</v>
      </c>
      <c r="G10" s="68" t="str">
        <f>+'3.ALTONIVEL'!AB5</f>
        <v>HORAS EXTRAS NOCTURNAS ALTO NIVEL</v>
      </c>
      <c r="H10" s="68" t="str">
        <f>+'3.ALTONIVEL'!AC5</f>
        <v>DÍAS FERIADOS LABORADOS ALTO NIVEL</v>
      </c>
      <c r="I10" s="69" t="str">
        <f>+'3.ALTONIVEL'!AD5</f>
        <v>PRIMA PARA LA ATENCION DE HIJAS E HIJOS CON DISCAPACIDAD. 200 U.T. POR HIJO</v>
      </c>
      <c r="J10" s="69" t="str">
        <f>+'3.ALTONIVEL'!AE5</f>
        <v>PRIMAR FAMILIAR 300 U.T MENSUAL</v>
      </c>
      <c r="K10" s="69" t="str">
        <f>+'3.ALTONIVEL'!AF5</f>
        <v>PRIMA DE APOYO A LA ACTIVIDAD DOCENTE Y DE INVESTIGACIÒN</v>
      </c>
      <c r="L10" s="69" t="str">
        <f>+'3.ALTONIVEL'!AG5</f>
        <v>PRIMA DE PROFESIONALIZACIÓN</v>
      </c>
      <c r="M10" s="69" t="str">
        <f>+'3.ALTONIVEL'!AH5</f>
        <v>PRIMA POR ANTIGUEDAD</v>
      </c>
      <c r="N10" s="69" t="str">
        <f>+'3.ALTONIVEL'!AI5</f>
        <v>PRIMA PARA CHOFERES Y SUPERVISORES</v>
      </c>
      <c r="O10" s="69" t="str">
        <f>+'3.ALTONIVEL'!AJ5</f>
        <v>PRIMA POR ESPECIALIZACIÓN PARA DOCENTE</v>
      </c>
      <c r="P10" s="69" t="str">
        <f>+'3.ALTONIVEL'!AK5</f>
        <v>PRIMA POR MAESTRÍA PARA DOCENTE</v>
      </c>
      <c r="Q10" s="69" t="str">
        <f>+'3.ALTONIVEL'!AL5</f>
        <v>PRIMA POR DOCTORADO PARA DOCENTE</v>
      </c>
      <c r="R10" s="69" t="str">
        <f>+'3.ALTONIVEL'!AM5</f>
        <v>PRIMA POR CARGO, RESPONSABILIDAD O JERARQUÍA</v>
      </c>
      <c r="S10" s="59" t="str">
        <f>+'3.ALTONIVEL'!AN4</f>
        <v>SALARIO NORMAL</v>
      </c>
      <c r="T10" s="70" t="str">
        <f>+'3.ALTONIVEL'!AO5</f>
        <v>BONO ALIMENTACÍON ALTO NIVEL</v>
      </c>
      <c r="U10" s="70" t="str">
        <f>+'3.ALTONIVEL'!AP5</f>
        <v>COLOQUE SUS DATOS AQUI BONO COMPENSATORIO</v>
      </c>
      <c r="V10" s="70" t="str">
        <f>+'3.ALTONIVEL'!AQ5</f>
        <v>DIFERENCIA A PAGAR POR BONO ALIMENTACION ALTO NIVEL</v>
      </c>
      <c r="W10" s="69" t="str">
        <f>+'3.ALTONIVEL'!AR5</f>
        <v>BONO VACACIONAL ALTO NIVEL</v>
      </c>
      <c r="X10" s="69" t="str">
        <f>+'3.ALTONIVEL'!AS5</f>
        <v>BONIFICACIÓN DE FIN DE AÑO ALTO NIVEL</v>
      </c>
      <c r="Y10" s="70" t="str">
        <f>+'3.ALTONIVEL'!AT5</f>
        <v>APORTE SSO ALTO NIVEL</v>
      </c>
      <c r="Z10" s="70" t="str">
        <f>+'3.ALTONIVEL'!AU5</f>
        <v>APORTE FJP ALTO NIVEL</v>
      </c>
      <c r="AA10" s="70" t="str">
        <f>+'3.ALTONIVEL'!AV5</f>
        <v>APORTE SPF ALTO NIVEL</v>
      </c>
      <c r="AB10" s="70" t="str">
        <f>+'3.ALTONIVEL'!AW5</f>
        <v>APORTE FAOV ALTO NIVEL</v>
      </c>
      <c r="AC10" s="70" t="str">
        <f>+'3.ALTONIVEL'!AX5</f>
        <v>APORTE CAJA DE AHORROS ALTO NIVEL</v>
      </c>
      <c r="AD10" s="70" t="str">
        <f>+'3.ALTONIVEL'!AY5</f>
        <v>PRESTACIONES SOCIALES ALTO NIVEL</v>
      </c>
      <c r="AE10" s="70" t="str">
        <f>+'3.ALTONIVEL'!AZ5</f>
        <v>APORTE PATRONAL A LOS SERVICIOS DE SALUD, ACCIDENTES PERSONALES Y GASTOS FUNERARIOS POR PERSONAL DE ALTO NIVEL Y DE DIRECCIÓN</v>
      </c>
      <c r="AF10" s="71" t="str">
        <f>+'3.ALTONIVEL'!BA5</f>
        <v>BECA PARA ESTUDIOS DE LAS HIJAS E HIJOS DE LAS TRABAJADORAS Y TRABAJADORES UNIVERSITARIOS</v>
      </c>
      <c r="AG10" s="71" t="str">
        <f>+'3.ALTONIVEL'!BB5</f>
        <v>CONTRIBUCIÓN PARA JUGUETES NAVIDEÑOS DE LAS HIJAS E HIJOS DE LAS TRABAJADORAS Y TRABAJADORES</v>
      </c>
      <c r="AH10" s="71" t="str">
        <f>+'3.ALTONIVEL'!BC5</f>
        <v>APORTE POR MATRIMONIO</v>
      </c>
      <c r="AI10" s="71" t="str">
        <f>+'3.ALTONIVEL'!BD5</f>
        <v>CONTRIBUCIÓN PARA LA ADQUISICIÓN DE ÚTILES ESCOLARES</v>
      </c>
      <c r="AJ10" s="71" t="str">
        <f>+'3.ALTONIVEL'!BE5</f>
        <v>APORTE POR NACIMIENTO DE HIJAS E HIJOS</v>
      </c>
      <c r="AK10" s="71" t="str">
        <f>+'3.ALTONIVEL'!BF5</f>
        <v>GUARDERÍA PARA HIJOS LOS TRABAJADORES</v>
      </c>
      <c r="AL10" s="72" t="str">
        <f>+'3.ALTONIVEL'!BG5</f>
        <v>COMISIONES Y GASTOS BANCARIOS</v>
      </c>
      <c r="AM10" s="72" t="str">
        <f>+'3.ALTONIVEL'!BH5</f>
        <v>COMISIONES Y GASTOS DE ADQUISICIÓN DE SEGUROS</v>
      </c>
      <c r="AN10" s="72" t="str">
        <f>+'3.ALTONIVEL'!BI5</f>
        <v>SERVICIOS DE CAPACITACIÓN Y ADIESTRAMIENTO</v>
      </c>
      <c r="AO10" s="72" t="str">
        <f>+'3.ALTONIVEL'!BJ5</f>
        <v>SERVICIOS DE DIVERSIÓN, ESPARCIMIENTO Y CULTURALES (ALMUERZO NAVIDEÑO)</v>
      </c>
      <c r="AP10" s="72" t="str">
        <f>+'3.ALTONIVEL'!BK5</f>
        <v>IMPUESTO AL VALOR AGREGADO
(IVA)</v>
      </c>
      <c r="AQ10" s="72" t="str">
        <f>+'3.ALTONIVEL'!BL5</f>
        <v>COMISIONES POR SERVICIOS PARA CUMPLIR CON LOS BENEFICIOS SOCIALES</v>
      </c>
      <c r="AR10" s="72" t="str">
        <f>+'3.ALTONIVEL'!BM5</f>
        <v>OTROS SERVICIOS NO PERSONALES</v>
      </c>
      <c r="AS10" s="72" t="str">
        <f>+'3.ALTONIVEL'!BN5</f>
        <v>APORTE A LA PREVISIÓN SOCIAL</v>
      </c>
      <c r="AT10" s="72" t="str">
        <f>+'3.ALTONIVEL'!BO5</f>
        <v>FINANCIAMIENTO DE ACTIVIDADES SINDICALES</v>
      </c>
      <c r="AU10" s="73" t="str">
        <f>+'3.ALTONIVEL'!BP5</f>
        <v>MONTO MENSUAL</v>
      </c>
      <c r="ALC10" s="54"/>
      <c r="ALD10" s="54"/>
    </row>
    <row r="11" spans="1:996" x14ac:dyDescent="0.2">
      <c r="A11" s="244"/>
      <c r="B11" s="244"/>
      <c r="C11" s="245"/>
      <c r="D11" s="78" t="str">
        <f>+'3.ALTONIVEL'!Y6</f>
        <v>4.01.01.36.00</v>
      </c>
      <c r="E11" s="78">
        <f>+'3.ALTONIVEL'!Z6</f>
        <v>0</v>
      </c>
      <c r="F11" s="78">
        <f>+'3.ALTONIVEL'!AA6</f>
        <v>0</v>
      </c>
      <c r="G11" s="78">
        <f>+'3.ALTONIVEL'!AB6</f>
        <v>0</v>
      </c>
      <c r="H11" s="78">
        <f>+'3.ALTONIVEL'!AC6</f>
        <v>0</v>
      </c>
      <c r="I11" s="78">
        <f>+'3.ALTONIVEL'!AD6</f>
        <v>0</v>
      </c>
      <c r="J11" s="78">
        <f>+'3.ALTONIVEL'!AE6</f>
        <v>0</v>
      </c>
      <c r="K11" s="78">
        <f>+'3.ALTONIVEL'!AF6</f>
        <v>0</v>
      </c>
      <c r="L11" s="78">
        <f>+'3.ALTONIVEL'!AG6</f>
        <v>0</v>
      </c>
      <c r="M11" s="78">
        <f>+'3.ALTONIVEL'!AH6</f>
        <v>0</v>
      </c>
      <c r="N11" s="78">
        <f>+'3.ALTONIVEL'!AI6</f>
        <v>0</v>
      </c>
      <c r="O11" s="78">
        <f>+'3.ALTONIVEL'!AJ6</f>
        <v>0</v>
      </c>
      <c r="P11" s="78">
        <f>+'3.ALTONIVEL'!AK6</f>
        <v>0</v>
      </c>
      <c r="Q11" s="78">
        <f>+'3.ALTONIVEL'!AL6</f>
        <v>0</v>
      </c>
      <c r="R11" s="78">
        <f>+'3.ALTONIVEL'!AM6</f>
        <v>0</v>
      </c>
      <c r="S11" s="78">
        <f>+'3.ALTONIVEL'!AN6</f>
        <v>0</v>
      </c>
      <c r="T11" s="78" t="str">
        <f>+'3.ALTONIVEL'!AO6</f>
        <v>4.01.04.51.00</v>
      </c>
      <c r="U11" s="78">
        <f>+'3.ALTONIVEL'!AP6</f>
        <v>0</v>
      </c>
      <c r="V11" s="78">
        <f>+'3.ALTONIVEL'!AQ6</f>
        <v>0</v>
      </c>
      <c r="W11" s="78" t="str">
        <f>+'3.ALTONIVEL'!AR6</f>
        <v>4.01.05.18.00</v>
      </c>
      <c r="X11" s="78" t="str">
        <f>+'3.ALTONIVEL'!AS6</f>
        <v>4.01.05.16.00</v>
      </c>
      <c r="Y11" s="78" t="str">
        <f>+'3.ALTONIVEL'!AT6</f>
        <v>4.01.06.39.00</v>
      </c>
      <c r="Z11" s="78" t="str">
        <f>+'3.ALTONIVEL'!AU6</f>
        <v>4.01.06.41.00</v>
      </c>
      <c r="AA11" s="78" t="str">
        <f>+'3.ALTONIVEL'!AV6</f>
        <v>4.01.06.42.00</v>
      </c>
      <c r="AB11" s="78" t="str">
        <f>+'3.ALTONIVEL'!AW6</f>
        <v>4.01.06.43.00</v>
      </c>
      <c r="AC11" s="78" t="str">
        <f>+'3.ALTONIVEL'!AX6</f>
        <v>4.01.07.68.00</v>
      </c>
      <c r="AD11" s="78" t="str">
        <f>+'3.ALTONIVEL'!AY6</f>
        <v>4.01.08.07.00</v>
      </c>
      <c r="AE11" s="78" t="str">
        <f>+'3.ALTONIVEL'!AZ6</f>
        <v>4.01.07.69.00</v>
      </c>
      <c r="AF11" s="78">
        <f>+'3.ALTONIVEL'!BA6</f>
        <v>0</v>
      </c>
      <c r="AG11" s="78">
        <f>+'3.ALTONIVEL'!BB6</f>
        <v>0</v>
      </c>
      <c r="AH11" s="78">
        <f>+'3.ALTONIVEL'!BC6</f>
        <v>0</v>
      </c>
      <c r="AI11" s="78">
        <f>+'3.ALTONIVEL'!BD6</f>
        <v>0</v>
      </c>
      <c r="AJ11" s="78">
        <f>+'3.ALTONIVEL'!BE6</f>
        <v>0</v>
      </c>
      <c r="AK11" s="78">
        <f>+'3.ALTONIVEL'!BF6</f>
        <v>0</v>
      </c>
      <c r="AL11" s="78" t="str">
        <f>+'3.ALTONIVEL'!BG6</f>
        <v>4.03.08.02.00</v>
      </c>
      <c r="AM11" s="78" t="str">
        <f>+'3.ALTONIVEL'!BH6</f>
        <v>4.03.08.03.00</v>
      </c>
      <c r="AN11" s="78" t="str">
        <f>+'3.ALTONIVEL'!BI6</f>
        <v>4.03.10.07.00</v>
      </c>
      <c r="AO11" s="78" t="str">
        <f>+'3.ALTONIVEL'!BJ6</f>
        <v>4.03.16.01.00</v>
      </c>
      <c r="AP11" s="78" t="str">
        <f>+'3.ALTONIVEL'!BK6</f>
        <v>4.03.18.01.00</v>
      </c>
      <c r="AQ11" s="78" t="str">
        <f>+'3.ALTONIVEL'!BL6</f>
        <v>4.03.19.01.00</v>
      </c>
      <c r="AR11" s="78" t="str">
        <f>+'3.ALTONIVEL'!BM6</f>
        <v>4.03.99.01.00</v>
      </c>
      <c r="AS11" s="78" t="str">
        <f>+'3.ALTONIVEL'!BN6</f>
        <v>4.07.01.01.75</v>
      </c>
      <c r="AT11" s="78" t="str">
        <f>+'3.ALTONIVEL'!BO6</f>
        <v>4.07.01.01.75</v>
      </c>
      <c r="AU11" s="78"/>
      <c r="ALC11" s="54"/>
      <c r="ALD11" s="54"/>
    </row>
    <row r="12" spans="1:996" ht="16.5" x14ac:dyDescent="0.25">
      <c r="A12" s="244"/>
      <c r="B12" s="244"/>
      <c r="C12" s="184">
        <f>+'3.ALTONIVEL'!I13</f>
        <v>0</v>
      </c>
      <c r="D12" s="185">
        <f>+'3.ALTONIVEL'!Y13</f>
        <v>0</v>
      </c>
      <c r="E12" s="185">
        <f>+'3.ALTONIVEL'!Z13</f>
        <v>0</v>
      </c>
      <c r="F12" s="185">
        <f>+'3.ALTONIVEL'!AA13</f>
        <v>0</v>
      </c>
      <c r="G12" s="185">
        <f>+'3.ALTONIVEL'!AB13</f>
        <v>0</v>
      </c>
      <c r="H12" s="185">
        <f>+'3.ALTONIVEL'!AC13</f>
        <v>0</v>
      </c>
      <c r="I12" s="185">
        <f>+'3.ALTONIVEL'!AD13</f>
        <v>0</v>
      </c>
      <c r="J12" s="185">
        <f>+'3.ALTONIVEL'!AE13</f>
        <v>0</v>
      </c>
      <c r="K12" s="185" t="b">
        <f>+'3.ALTONIVEL'!AF13</f>
        <v>0</v>
      </c>
      <c r="L12" s="185" t="b">
        <f>+'3.ALTONIVEL'!AG13</f>
        <v>0</v>
      </c>
      <c r="M12" s="185" t="b">
        <f>+'3.ALTONIVEL'!AH13</f>
        <v>0</v>
      </c>
      <c r="N12" s="185" t="str">
        <f>+'3.ALTONIVEL'!AI13</f>
        <v>No Aplica</v>
      </c>
      <c r="O12" s="185" t="str">
        <f>+'3.ALTONIVEL'!AJ13</f>
        <v>No Aplica</v>
      </c>
      <c r="P12" s="185" t="str">
        <f>+'3.ALTONIVEL'!AK13</f>
        <v>No Aplica</v>
      </c>
      <c r="Q12" s="185" t="str">
        <f>+'3.ALTONIVEL'!AL13</f>
        <v>No Aplica</v>
      </c>
      <c r="R12" s="185">
        <f>+'3.ALTONIVEL'!AM13</f>
        <v>0</v>
      </c>
      <c r="S12" s="185">
        <f>+'3.ALTONIVEL'!AN13</f>
        <v>0</v>
      </c>
      <c r="T12" s="185" t="b">
        <f>+'3.ALTONIVEL'!AO13</f>
        <v>0</v>
      </c>
      <c r="U12" s="185">
        <f>+'3.ALTONIVEL'!AP13</f>
        <v>0</v>
      </c>
      <c r="V12" s="185">
        <f>+'3.ALTONIVEL'!AQ13</f>
        <v>0</v>
      </c>
      <c r="W12" s="185">
        <f>+'3.ALTONIVEL'!AR13</f>
        <v>0</v>
      </c>
      <c r="X12" s="185">
        <f>+'3.ALTONIVEL'!AS13</f>
        <v>0</v>
      </c>
      <c r="Y12" s="185">
        <f>+'3.ALTONIVEL'!AT13</f>
        <v>0</v>
      </c>
      <c r="Z12" s="185">
        <f>+'3.ALTONIVEL'!AU13</f>
        <v>0</v>
      </c>
      <c r="AA12" s="185">
        <f>+'3.ALTONIVEL'!AV13</f>
        <v>0</v>
      </c>
      <c r="AB12" s="185">
        <f>+'3.ALTONIVEL'!AW13</f>
        <v>0</v>
      </c>
      <c r="AC12" s="185">
        <f>+'3.ALTONIVEL'!AX13</f>
        <v>0</v>
      </c>
      <c r="AD12" s="185">
        <f>+'3.ALTONIVEL'!AY13</f>
        <v>0</v>
      </c>
      <c r="AE12" s="185">
        <f>+'3.ALTONIVEL'!AZ13</f>
        <v>0</v>
      </c>
      <c r="AF12" s="185" t="b">
        <f>+'3.ALTONIVEL'!BA13</f>
        <v>0</v>
      </c>
      <c r="AG12" s="185">
        <f>+'3.ALTONIVEL'!BB13</f>
        <v>0</v>
      </c>
      <c r="AH12" s="185">
        <f>+'3.ALTONIVEL'!BC13</f>
        <v>0</v>
      </c>
      <c r="AI12" s="185">
        <f>+'3.ALTONIVEL'!BD13</f>
        <v>0</v>
      </c>
      <c r="AJ12" s="185">
        <f>+'3.ALTONIVEL'!BE13</f>
        <v>0</v>
      </c>
      <c r="AK12" s="185" t="b">
        <f>+'3.ALTONIVEL'!BF13</f>
        <v>0</v>
      </c>
      <c r="AL12" s="185">
        <f>+'3.ALTONIVEL'!BG13</f>
        <v>0</v>
      </c>
      <c r="AM12" s="185">
        <f>+'3.ALTONIVEL'!BH13</f>
        <v>0</v>
      </c>
      <c r="AN12" s="185">
        <f>+'3.ALTONIVEL'!BI13</f>
        <v>0</v>
      </c>
      <c r="AO12" s="185">
        <f>+'3.ALTONIVEL'!BJ13</f>
        <v>0</v>
      </c>
      <c r="AP12" s="185">
        <f>+'3.ALTONIVEL'!BK13</f>
        <v>0</v>
      </c>
      <c r="AQ12" s="185">
        <f>+'3.ALTONIVEL'!BL13</f>
        <v>0</v>
      </c>
      <c r="AR12" s="185">
        <f>+'3.ALTONIVEL'!BM13</f>
        <v>0</v>
      </c>
      <c r="AS12" s="185">
        <f>+'3.ALTONIVEL'!BN13</f>
        <v>0</v>
      </c>
      <c r="AT12" s="185">
        <f>+'3.ALTONIVEL'!BO13</f>
        <v>0</v>
      </c>
      <c r="AU12" s="185">
        <f>+'3.ALTONIVEL'!BP13</f>
        <v>0</v>
      </c>
      <c r="ALC12" s="54"/>
      <c r="ALD12" s="54"/>
    </row>
    <row r="13" spans="1:996" ht="16.5" x14ac:dyDescent="0.25">
      <c r="A13" s="186"/>
      <c r="B13" s="186"/>
      <c r="C13" s="187"/>
    </row>
    <row r="14" spans="1:996" ht="16.5" x14ac:dyDescent="0.25">
      <c r="A14" s="186"/>
      <c r="B14" s="186"/>
      <c r="C14" s="187"/>
    </row>
    <row r="15" spans="1:996" ht="12.75" customHeight="1" x14ac:dyDescent="0.2">
      <c r="A15" s="246" t="s">
        <v>424</v>
      </c>
      <c r="B15" s="246"/>
      <c r="C15" s="245" t="s">
        <v>423</v>
      </c>
    </row>
    <row r="16" spans="1:996" ht="148.5" x14ac:dyDescent="0.2">
      <c r="A16" s="246"/>
      <c r="B16" s="246"/>
      <c r="C16" s="245" t="s">
        <v>423</v>
      </c>
      <c r="D16" s="68" t="str">
        <f>+'4.EMPLEADOS'!Y5</f>
        <v>SUELDO BÁSICO EMPLEADOS</v>
      </c>
      <c r="E16" s="68" t="str">
        <f>+'4.EMPLEADOS'!Z5</f>
        <v>DIFERENCIAS SUELDO BASE EMPLEADOS</v>
      </c>
      <c r="F16" s="68" t="str">
        <f>+'4.EMPLEADOS'!AA5</f>
        <v>HORAS EXTRAS DIURNAS EMPLEADOS</v>
      </c>
      <c r="G16" s="68" t="str">
        <f>+'4.EMPLEADOS'!AB5</f>
        <v>HORAS EXTRAS NOCTURNAS EMPLEADOS</v>
      </c>
      <c r="H16" s="68" t="str">
        <f>+'4.EMPLEADOS'!AC5</f>
        <v>DÍAS FERIADOS LABORADOS EMPLEADOS</v>
      </c>
      <c r="I16" s="69" t="str">
        <f>+'4.EMPLEADOS'!AD5</f>
        <v>PRIMA PARA LA ATENCION DE HIJAS E HIJOS CON DISCAPACIDAD. 200 U.T. POR HIJO</v>
      </c>
      <c r="J16" s="69" t="str">
        <f>+'4.EMPLEADOS'!AE5</f>
        <v>PRIMAR FAMILIAR 300 U.T MENSUAL</v>
      </c>
      <c r="K16" s="69" t="str">
        <f>+'4.EMPLEADOS'!AF5</f>
        <v>PRIMA DE APOYO A LA ACTIVIDAD DOCENTE Y DE INVESTIGACIÒN</v>
      </c>
      <c r="L16" s="69" t="str">
        <f>+'4.EMPLEADOS'!AG5</f>
        <v>PRIMA DE PROFESIONALIZACIÓN</v>
      </c>
      <c r="M16" s="69" t="str">
        <f>+'4.EMPLEADOS'!AH5</f>
        <v>PRIMA POR ANTIGUEDAD</v>
      </c>
      <c r="N16" s="69" t="str">
        <f>+'4.EMPLEADOS'!AI5</f>
        <v>PRIMA PARA CHOFERES Y SUPERVISORES</v>
      </c>
      <c r="O16" s="69" t="str">
        <f>+'4.EMPLEADOS'!AJ5</f>
        <v>PRIMA POR ESPECIALIZACIÓN PARA DOCENTE</v>
      </c>
      <c r="P16" s="69" t="str">
        <f>+'4.EMPLEADOS'!AK5</f>
        <v>PRIMA POR MAESTRÍA PARA DOCENTE</v>
      </c>
      <c r="Q16" s="69" t="str">
        <f>+'4.EMPLEADOS'!AL5</f>
        <v>PRIMA POR DOCTORADO PARA DOCENTE</v>
      </c>
      <c r="R16" s="69" t="str">
        <f>+'4.EMPLEADOS'!AM5</f>
        <v>COLOQUE SUS DATOS AQUI</v>
      </c>
      <c r="S16" s="69" t="str">
        <f>+'4.EMPLEADOS'!AN5</f>
        <v>COLOQUE SUS DATOS AQUI</v>
      </c>
      <c r="T16" s="69" t="str">
        <f>+'4.EMPLEADOS'!AO5</f>
        <v>COLOQUE SUS DATOS AQUI</v>
      </c>
      <c r="U16" s="69" t="str">
        <f>+'4.EMPLEADOS'!AP5</f>
        <v>PRIMA POR CARGO, RESPONSABILIDAD O JERARQUÍA</v>
      </c>
      <c r="V16" s="59" t="str">
        <f>+'4.EMPLEADOS'!AQ4</f>
        <v>SALARIO NORMAL</v>
      </c>
      <c r="W16" s="70" t="str">
        <f>+'4.EMPLEADOS'!AR5</f>
        <v>BONO ALIMENTACÍON EMPLEADOS</v>
      </c>
      <c r="X16" s="70" t="str">
        <f>+'4.EMPLEADOS'!AS5</f>
        <v>COLOQUE SUS DATSO AQUI BONO COMPENSATORIO</v>
      </c>
      <c r="Y16" s="70" t="str">
        <f>+'4.EMPLEADOS'!AT5</f>
        <v>DIFERENCIA A PAGAR POR BONO ALIMENTACION EMPLEADOS</v>
      </c>
      <c r="Z16" s="69" t="str">
        <f>+'4.EMPLEADOS'!AU5</f>
        <v>BONO VACACIONAL EMPLEADOS</v>
      </c>
      <c r="AA16" s="69" t="str">
        <f>+'4.EMPLEADOS'!AV5</f>
        <v>BONIFICACIÓN DE FIN DE AÑO EMPLEADOS</v>
      </c>
      <c r="AB16" s="70" t="str">
        <f>+'4.EMPLEADOS'!AW5</f>
        <v>APORTE SSO EMPLEADOS</v>
      </c>
      <c r="AC16" s="70" t="str">
        <f>+'4.EMPLEADOS'!AX5</f>
        <v>APORTE FJP EMPLEADOS</v>
      </c>
      <c r="AD16" s="70" t="str">
        <f>+'4.EMPLEADOS'!AY5</f>
        <v>APORTE SPF EMPLEADOS</v>
      </c>
      <c r="AE16" s="70" t="str">
        <f>+'4.EMPLEADOS'!AZ5</f>
        <v>APORTE FAOV EMPLEADOS</v>
      </c>
      <c r="AF16" s="70" t="str">
        <f>+'4.EMPLEADOS'!BA5</f>
        <v>APORTE CAJA DE AHORROS EMPLEADOS</v>
      </c>
      <c r="AG16" s="70" t="str">
        <f>+'4.EMPLEADOS'!BB5</f>
        <v>PRESTACIONES SOCIALES EMPLEADOS</v>
      </c>
      <c r="AH16" s="70" t="str">
        <f>+'4.EMPLEADOS'!BC5</f>
        <v>APORTE PATRONAL A LOS SERVICIOS DE SALUD, ACCIDENTES PERSONALES Y GASTOS FUNERARIOS POR PERSONAL DE EMPLEADOS Y DE DIRECCIÓN</v>
      </c>
      <c r="AI16" s="71" t="str">
        <f>+'4.EMPLEADOS'!BD5</f>
        <v>BECA PARA ESTUDIOS DE LAS HIJAS E HIJOS DE LAS TRABAJADORAS Y TRABAJADORES UNIVERSITARIOS</v>
      </c>
      <c r="AJ16" s="71" t="str">
        <f>+'4.EMPLEADOS'!BE5</f>
        <v>CONTRIBUCIÓN PARA JUGUETES NAVIDEÑOS DE LAS HIJAS E HIJOS DE LAS TRABAJADORAS Y TRABAJADORES</v>
      </c>
      <c r="AK16" s="71" t="str">
        <f>+'4.EMPLEADOS'!BF5</f>
        <v>APORTE POR MATRIMONIO</v>
      </c>
      <c r="AL16" s="71" t="str">
        <f>+'4.EMPLEADOS'!BG5</f>
        <v>CONTRIBUCIÓN PARA LA ADQUISICIÓN DE ÚTILES ESCOLARES</v>
      </c>
      <c r="AM16" s="71" t="str">
        <f>+'4.EMPLEADOS'!BH5</f>
        <v>APORTE POR NACIMIENTO DE HIJAS E HIJOS</v>
      </c>
      <c r="AN16" s="71" t="str">
        <f>+'4.EMPLEADOS'!BI5</f>
        <v>COMPLEMENTOS DE BECA PERSONAL DOCENTE</v>
      </c>
      <c r="AO16" s="71" t="str">
        <f>+'4.EMPLEADOS'!BJ5</f>
        <v>GUARDERÍA PARA HIJOS LOS TRABAJADORES</v>
      </c>
      <c r="AP16" s="72" t="str">
        <f>+'4.EMPLEADOS'!BK5</f>
        <v>COMISIONES Y GASTOS BANCARIOS</v>
      </c>
      <c r="AQ16" s="72" t="str">
        <f>+'4.EMPLEADOS'!BL5</f>
        <v>COMISIONES Y GASTOS DE ADQUISICION DE SEGUROS</v>
      </c>
      <c r="AR16" s="72" t="str">
        <f>+'4.EMPLEADOS'!BM5</f>
        <v>SERVICIOS DE CAPACITACION Y ADIESTRAMIENTO</v>
      </c>
      <c r="AS16" s="72" t="str">
        <f>+'4.EMPLEADOS'!BN5</f>
        <v>SERVICIOS DE DIVERSIÓN, ESPARCIMIENTO Y CULTURALES (ALMUERZO NAVIDEÑO)</v>
      </c>
      <c r="AT16" s="72" t="str">
        <f>+'4.EMPLEADOS'!BO5</f>
        <v>IMPUESTO AL VALOR AGREGADO
(IVA)</v>
      </c>
      <c r="AU16" s="72" t="str">
        <f>+'4.EMPLEADOS'!BP5</f>
        <v>COMISIONES POR SERVICIOS PARA CUMPLIR CON LOS BENEFICIOS SOCIALES</v>
      </c>
      <c r="AV16" s="72" t="str">
        <f>+'4.EMPLEADOS'!BQ5</f>
        <v>OTROS SERVICIOS NO PERSONALES</v>
      </c>
      <c r="AW16" s="72" t="str">
        <f>+'4.EMPLEADOS'!BR5</f>
        <v>APORTE A LA PREVISIÓN SOCIAL</v>
      </c>
      <c r="AX16" s="72" t="str">
        <f>+'4.EMPLEADOS'!BS5</f>
        <v>FINANCIAMIENTO DE ACTIVIDADES SINDICALES</v>
      </c>
      <c r="AY16" s="73" t="str">
        <f>+'4.EMPLEADOS'!BT5</f>
        <v>MONTO MENSUAL POR CARGOS SEGUN FRECUENCIA</v>
      </c>
      <c r="ALC16" s="54"/>
      <c r="ALD16" s="54"/>
      <c r="ALE16" s="54"/>
      <c r="ALF16" s="54"/>
      <c r="ALG16" s="54"/>
      <c r="ALH16" s="54"/>
    </row>
    <row r="17" spans="1:996" x14ac:dyDescent="0.2">
      <c r="A17" s="246"/>
      <c r="B17" s="246"/>
      <c r="C17" s="245"/>
      <c r="D17" s="78" t="str">
        <f>+'4.EMPLEADOS'!Y6</f>
        <v>4.01.01.36.00</v>
      </c>
      <c r="E17" s="78">
        <f>+'4.EMPLEADOS'!Z6</f>
        <v>0</v>
      </c>
      <c r="F17" s="78">
        <f>+'4.EMPLEADOS'!AA6</f>
        <v>0</v>
      </c>
      <c r="G17" s="78">
        <f>+'4.EMPLEADOS'!AB6</f>
        <v>0</v>
      </c>
      <c r="H17" s="78">
        <f>+'4.EMPLEADOS'!AC6</f>
        <v>0</v>
      </c>
      <c r="I17" s="78">
        <f>+'4.EMPLEADOS'!AD6</f>
        <v>0</v>
      </c>
      <c r="J17" s="78">
        <f>+'4.EMPLEADOS'!AE6</f>
        <v>0</v>
      </c>
      <c r="K17" s="78">
        <f>+'4.EMPLEADOS'!AF6</f>
        <v>0</v>
      </c>
      <c r="L17" s="78">
        <f>+'4.EMPLEADOS'!AG6</f>
        <v>0</v>
      </c>
      <c r="M17" s="78">
        <f>+'4.EMPLEADOS'!AH6</f>
        <v>0</v>
      </c>
      <c r="N17" s="78">
        <f>+'4.EMPLEADOS'!AI6</f>
        <v>0</v>
      </c>
      <c r="O17" s="78">
        <f>+'4.EMPLEADOS'!AJ6</f>
        <v>0</v>
      </c>
      <c r="P17" s="78">
        <f>+'4.EMPLEADOS'!AK6</f>
        <v>0</v>
      </c>
      <c r="Q17" s="78">
        <f>+'4.EMPLEADOS'!AL6</f>
        <v>0</v>
      </c>
      <c r="R17" s="78">
        <f>+'4.EMPLEADOS'!AM6</f>
        <v>0</v>
      </c>
      <c r="S17" s="78">
        <f>+'4.EMPLEADOS'!AN6</f>
        <v>0</v>
      </c>
      <c r="T17" s="78">
        <f>+'4.EMPLEADOS'!AO6</f>
        <v>0</v>
      </c>
      <c r="U17" s="78">
        <f>+'4.EMPLEADOS'!AP6</f>
        <v>0</v>
      </c>
      <c r="V17" s="78">
        <f>+'4.EMPLEADOS'!AQ6</f>
        <v>0</v>
      </c>
      <c r="W17" s="78" t="str">
        <f>+'4.EMPLEADOS'!AR6</f>
        <v>4.01.04.51.00</v>
      </c>
      <c r="X17" s="78">
        <f>+'4.EMPLEADOS'!AS6</f>
        <v>0</v>
      </c>
      <c r="Y17" s="78">
        <f>+'4.EMPLEADOS'!AT6</f>
        <v>0</v>
      </c>
      <c r="Z17" s="78" t="str">
        <f>+'4.EMPLEADOS'!AU6</f>
        <v>4.01.05.18.00</v>
      </c>
      <c r="AA17" s="78" t="str">
        <f>+'4.EMPLEADOS'!AV6</f>
        <v>4.01.05.16.00</v>
      </c>
      <c r="AB17" s="78" t="str">
        <f>+'4.EMPLEADOS'!AW6</f>
        <v>4.01.06.39.00</v>
      </c>
      <c r="AC17" s="78" t="str">
        <f>+'4.EMPLEADOS'!AX6</f>
        <v>4.01.06.41.00</v>
      </c>
      <c r="AD17" s="78" t="str">
        <f>+'4.EMPLEADOS'!AY6</f>
        <v>4.01.06.42.00</v>
      </c>
      <c r="AE17" s="78" t="str">
        <f>+'4.EMPLEADOS'!AZ6</f>
        <v>4.01.06.43.00</v>
      </c>
      <c r="AF17" s="78" t="str">
        <f>+'4.EMPLEADOS'!BA6</f>
        <v>4.01.07.68.00</v>
      </c>
      <c r="AG17" s="78" t="str">
        <f>+'4.EMPLEADOS'!BB6</f>
        <v>4.01.08.07.00</v>
      </c>
      <c r="AH17" s="78" t="str">
        <f>+'4.EMPLEADOS'!BC6</f>
        <v>4.01.07.69.00</v>
      </c>
      <c r="AI17" s="78">
        <f>+'4.EMPLEADOS'!BD6</f>
        <v>0</v>
      </c>
      <c r="AJ17" s="78">
        <f>+'4.EMPLEADOS'!BE6</f>
        <v>0</v>
      </c>
      <c r="AK17" s="78">
        <f>+'4.EMPLEADOS'!BF6</f>
        <v>0</v>
      </c>
      <c r="AL17" s="78">
        <f>+'4.EMPLEADOS'!BG6</f>
        <v>0</v>
      </c>
      <c r="AM17" s="78">
        <f>+'4.EMPLEADOS'!BH6</f>
        <v>0</v>
      </c>
      <c r="AN17" s="78">
        <f>+'4.EMPLEADOS'!BI6</f>
        <v>0</v>
      </c>
      <c r="AO17" s="78">
        <f>+'4.EMPLEADOS'!BJ6</f>
        <v>0</v>
      </c>
      <c r="AP17" s="78" t="str">
        <f>+'4.EMPLEADOS'!BK6</f>
        <v>4.03.08.02.00</v>
      </c>
      <c r="AQ17" s="78" t="str">
        <f>+'4.EMPLEADOS'!BL6</f>
        <v>4.03.08.03.00</v>
      </c>
      <c r="AR17" s="78" t="str">
        <f>+'4.EMPLEADOS'!BM6</f>
        <v>4.03.10.07.00</v>
      </c>
      <c r="AS17" s="78" t="str">
        <f>+'4.EMPLEADOS'!BN6</f>
        <v>4.03.16.01.00</v>
      </c>
      <c r="AT17" s="78" t="str">
        <f>+'4.EMPLEADOS'!BO6</f>
        <v>4.03.18.01.00</v>
      </c>
      <c r="AU17" s="78" t="str">
        <f>+'4.EMPLEADOS'!BP6</f>
        <v>4.03.19.01.00</v>
      </c>
      <c r="AV17" s="78" t="str">
        <f>+'4.EMPLEADOS'!BQ6</f>
        <v>4.03.99.01.00</v>
      </c>
      <c r="AW17" s="78" t="str">
        <f>+'4.EMPLEADOS'!BR6</f>
        <v>4.07.01.01.75</v>
      </c>
      <c r="AX17" s="78" t="str">
        <f>+'4.EMPLEADOS'!BS6</f>
        <v>4.07.01.01.75</v>
      </c>
      <c r="AY17" s="78"/>
      <c r="ALC17" s="54"/>
      <c r="ALD17" s="54"/>
      <c r="ALE17" s="54"/>
      <c r="ALF17" s="54"/>
      <c r="ALG17" s="54"/>
      <c r="ALH17" s="54"/>
    </row>
    <row r="18" spans="1:996" ht="16.5" x14ac:dyDescent="0.25">
      <c r="A18" s="246"/>
      <c r="B18" s="246"/>
      <c r="C18" s="184">
        <f>+'4.EMPLEADOS'!I15</f>
        <v>0</v>
      </c>
      <c r="D18" s="185">
        <f>+'4.EMPLEADOS'!Y15</f>
        <v>0</v>
      </c>
      <c r="E18" s="185">
        <f>+'4.EMPLEADOS'!Z15</f>
        <v>0</v>
      </c>
      <c r="F18" s="185">
        <f>+'4.EMPLEADOS'!AA15</f>
        <v>0</v>
      </c>
      <c r="G18" s="185">
        <f>+'4.EMPLEADOS'!AB15</f>
        <v>0</v>
      </c>
      <c r="H18" s="185">
        <f>+'4.EMPLEADOS'!AC15</f>
        <v>0</v>
      </c>
      <c r="I18" s="185">
        <f>+'4.EMPLEADOS'!AD15</f>
        <v>0</v>
      </c>
      <c r="J18" s="185">
        <f>+'4.EMPLEADOS'!AE15</f>
        <v>0</v>
      </c>
      <c r="K18" s="185">
        <f>+'4.EMPLEADOS'!AF15</f>
        <v>0</v>
      </c>
      <c r="L18" s="185">
        <f>+'4.EMPLEADOS'!AG15</f>
        <v>0</v>
      </c>
      <c r="M18" s="185">
        <f>+'4.EMPLEADOS'!AH15</f>
        <v>0</v>
      </c>
      <c r="N18" s="185">
        <f>+'4.EMPLEADOS'!AI15</f>
        <v>0</v>
      </c>
      <c r="O18" s="185">
        <f>+'4.EMPLEADOS'!AJ15</f>
        <v>0</v>
      </c>
      <c r="P18" s="185">
        <f>+'4.EMPLEADOS'!AK15</f>
        <v>0</v>
      </c>
      <c r="Q18" s="185">
        <f>+'4.EMPLEADOS'!AL15</f>
        <v>0</v>
      </c>
      <c r="R18" s="185">
        <f>+'4.EMPLEADOS'!AM15</f>
        <v>0</v>
      </c>
      <c r="S18" s="185">
        <f>+'4.EMPLEADOS'!AN15</f>
        <v>0</v>
      </c>
      <c r="T18" s="185">
        <f>+'4.EMPLEADOS'!AO15</f>
        <v>0</v>
      </c>
      <c r="U18" s="185">
        <f>+'4.EMPLEADOS'!AP15</f>
        <v>0</v>
      </c>
      <c r="V18" s="185">
        <f>+'4.EMPLEADOS'!AQ15</f>
        <v>0</v>
      </c>
      <c r="W18" s="185">
        <f>+'4.EMPLEADOS'!AR15</f>
        <v>0</v>
      </c>
      <c r="X18" s="185">
        <f>+'4.EMPLEADOS'!AS15</f>
        <v>0</v>
      </c>
      <c r="Y18" s="185">
        <f>+'4.EMPLEADOS'!AT15</f>
        <v>0</v>
      </c>
      <c r="Z18" s="185">
        <f>+'4.EMPLEADOS'!AU15</f>
        <v>0</v>
      </c>
      <c r="AA18" s="185">
        <f>+'4.EMPLEADOS'!AV15</f>
        <v>0</v>
      </c>
      <c r="AB18" s="185">
        <f>+'4.EMPLEADOS'!AW15</f>
        <v>0</v>
      </c>
      <c r="AC18" s="185">
        <f>+'4.EMPLEADOS'!AX15</f>
        <v>0</v>
      </c>
      <c r="AD18" s="185">
        <f>+'4.EMPLEADOS'!AY15</f>
        <v>0</v>
      </c>
      <c r="AE18" s="185">
        <f>+'4.EMPLEADOS'!AZ15</f>
        <v>0</v>
      </c>
      <c r="AF18" s="185">
        <f>+'4.EMPLEADOS'!BA15</f>
        <v>0</v>
      </c>
      <c r="AG18" s="185">
        <f>+'4.EMPLEADOS'!BB15</f>
        <v>0</v>
      </c>
      <c r="AH18" s="185">
        <f>+'4.EMPLEADOS'!BC15</f>
        <v>0</v>
      </c>
      <c r="AI18" s="185">
        <f>+'4.EMPLEADOS'!BD15</f>
        <v>0</v>
      </c>
      <c r="AJ18" s="185">
        <f>+'4.EMPLEADOS'!BE15</f>
        <v>0</v>
      </c>
      <c r="AK18" s="185">
        <f>+'4.EMPLEADOS'!BF15</f>
        <v>0</v>
      </c>
      <c r="AL18" s="185">
        <f>+'4.EMPLEADOS'!BG15</f>
        <v>0</v>
      </c>
      <c r="AM18" s="185">
        <f>+'4.EMPLEADOS'!BH15</f>
        <v>0</v>
      </c>
      <c r="AN18" s="185">
        <f>+'4.EMPLEADOS'!BI15</f>
        <v>0</v>
      </c>
      <c r="AO18" s="185">
        <f>+'4.EMPLEADOS'!BJ15</f>
        <v>0</v>
      </c>
      <c r="AP18" s="185">
        <f>+'4.EMPLEADOS'!BK15</f>
        <v>0</v>
      </c>
      <c r="AQ18" s="185">
        <f>+'4.EMPLEADOS'!BL15</f>
        <v>0</v>
      </c>
      <c r="AR18" s="185">
        <f>+'4.EMPLEADOS'!BM15</f>
        <v>0</v>
      </c>
      <c r="AS18" s="185">
        <f>+'4.EMPLEADOS'!BN15</f>
        <v>0</v>
      </c>
      <c r="AT18" s="185">
        <f>+'4.EMPLEADOS'!BO15</f>
        <v>0</v>
      </c>
      <c r="AU18" s="185">
        <f>+'4.EMPLEADOS'!BP15</f>
        <v>0</v>
      </c>
      <c r="AV18" s="185">
        <f>+'4.EMPLEADOS'!BQ15</f>
        <v>0</v>
      </c>
      <c r="AW18" s="185">
        <f>+'4.EMPLEADOS'!BR15</f>
        <v>0</v>
      </c>
      <c r="AX18" s="185">
        <f>+'4.EMPLEADOS'!BS15</f>
        <v>0</v>
      </c>
      <c r="AY18" s="185">
        <f>+'4.EMPLEADOS'!BT15</f>
        <v>0</v>
      </c>
      <c r="ALC18" s="54"/>
      <c r="ALD18" s="54"/>
      <c r="ALE18" s="54"/>
      <c r="ALF18" s="54"/>
      <c r="ALG18" s="54"/>
      <c r="ALH18" s="54"/>
    </row>
    <row r="19" spans="1:996" x14ac:dyDescent="0.2">
      <c r="A19"/>
      <c r="B19"/>
      <c r="C19"/>
    </row>
    <row r="20" spans="1:996" x14ac:dyDescent="0.2">
      <c r="A20"/>
      <c r="B20"/>
      <c r="C20"/>
    </row>
    <row r="21" spans="1:996" ht="12.75" customHeight="1" x14ac:dyDescent="0.2">
      <c r="A21" s="247" t="s">
        <v>425</v>
      </c>
      <c r="B21" s="247"/>
      <c r="C21" s="245" t="s">
        <v>423</v>
      </c>
    </row>
    <row r="22" spans="1:996" ht="108" x14ac:dyDescent="0.2">
      <c r="A22" s="247"/>
      <c r="B22" s="247"/>
      <c r="C22" s="245" t="s">
        <v>423</v>
      </c>
      <c r="D22" s="68" t="str">
        <f>+'5.OBREROS'!Y5</f>
        <v>SALARIO BÁSICO OBREROS</v>
      </c>
      <c r="E22" s="68" t="str">
        <f>+'5.OBREROS'!Z5</f>
        <v>DIFERENCIAS SUELDO BASE OBREROS</v>
      </c>
      <c r="F22" s="68" t="str">
        <f>+'5.OBREROS'!AA5</f>
        <v>HORAS EXTRAS DIURNAS OBREROS</v>
      </c>
      <c r="G22" s="68" t="str">
        <f>+'5.OBREROS'!AB5</f>
        <v>HORAS EXTRAS NOCTURNAS OBREROS</v>
      </c>
      <c r="H22" s="68" t="str">
        <f>+'5.OBREROS'!AC5</f>
        <v>DOMINGOS Y DÍAS FERIADOS LABORADOS OBREROS</v>
      </c>
      <c r="I22" s="69" t="str">
        <f>+'5.OBREROS'!AD5</f>
        <v>PRIMA PARA LA ATENCION DE HIJAS E HIJOS CON DISCAPACIDAD. 250 U.T. POR HIJO</v>
      </c>
      <c r="J22" s="69" t="str">
        <f>+'5.OBREROS'!AE5</f>
        <v>PRIMAR FAMILIAR 300 U.T MENSUAL</v>
      </c>
      <c r="K22" s="69" t="str">
        <f>+'5.OBREROS'!AF5</f>
        <v>PRIMA DE PROFESIONALIZACIÓN</v>
      </c>
      <c r="L22" s="69" t="str">
        <f>+'5.OBREROS'!AG5</f>
        <v>PRIMA POR ANTIGUEDAD</v>
      </c>
      <c r="M22" s="69" t="str">
        <f>+'5.OBREROS'!AH5</f>
        <v>PRIMA PARA CHOFERES Y SUPERVISORES</v>
      </c>
      <c r="N22" s="69" t="str">
        <f>+'5.OBREROS'!AI5</f>
        <v>COLOQUE SUS DATOS AQUI</v>
      </c>
      <c r="O22" s="69" t="str">
        <f>+'5.OBREROS'!AJ5</f>
        <v>COLOQUE SUS DATOS AQUI</v>
      </c>
      <c r="P22" s="69" t="str">
        <f>+'5.OBREROS'!AK5</f>
        <v>COLOQUE SUS DATOS AQUI</v>
      </c>
      <c r="Q22" s="69" t="str">
        <f>+'5.OBREROS'!AL5</f>
        <v>PRIMA POR CARGO, RESPONSABILIDAD O JERARQUÍA</v>
      </c>
      <c r="R22" s="59" t="str">
        <f>+'5.OBREROS'!AM4</f>
        <v>SALARIO NORMAL</v>
      </c>
      <c r="S22" s="70" t="str">
        <f>+'5.OBREROS'!AN5</f>
        <v>BONO ALIMENTACÍON OBREROS</v>
      </c>
      <c r="T22" s="70" t="str">
        <f>+'5.OBREROS'!AO5</f>
        <v>COLOQUE SUS DATOS AQUI BONO COMPENSATORIO</v>
      </c>
      <c r="U22" s="70" t="str">
        <f>+'5.OBREROS'!AP5</f>
        <v>DIFERENCIA A PAGAR POR BONO ALIMENTACION OBREROS</v>
      </c>
      <c r="V22" s="69" t="str">
        <f>+'5.OBREROS'!AQ5</f>
        <v>BONO VACACIONAL OBREROS</v>
      </c>
      <c r="W22" s="69" t="str">
        <f>+'5.OBREROS'!AR5</f>
        <v>BONIFICACIÓN DE FIN DE AÑO OBREROS</v>
      </c>
      <c r="X22" s="70" t="str">
        <f>+'5.OBREROS'!AS5</f>
        <v>APORTE SSO OBREROS</v>
      </c>
      <c r="Y22" s="70" t="str">
        <f>+'5.OBREROS'!AT5</f>
        <v>APORTE FJP OBREROS</v>
      </c>
      <c r="Z22" s="70" t="str">
        <f>+'5.OBREROS'!AU5</f>
        <v>APORTE SPF OBREROS</v>
      </c>
      <c r="AA22" s="70" t="str">
        <f>+'5.OBREROS'!AV5</f>
        <v>APORTE FAOV OBREROS</v>
      </c>
      <c r="AB22" s="70" t="str">
        <f>+'5.OBREROS'!AW5</f>
        <v>APORTE CAJA DE AHORROS OBREROS</v>
      </c>
      <c r="AC22" s="70" t="str">
        <f>+'5.OBREROS'!AX5</f>
        <v>PRESTACIONES SOCIALES OBREROS</v>
      </c>
      <c r="AD22" s="70" t="str">
        <f>+'5.OBREROS'!AY5</f>
        <v>APORTE PATRONAL A LOS SERVICIOS DE SALUD, ACCIDENTES PERSONALES Y GASTOS FUNERARIOS POR PERSONAL DE OBREROS Y DE DIRECCIÓN</v>
      </c>
      <c r="AE22" s="71" t="str">
        <f>+'5.OBREROS'!AZ5</f>
        <v>BECA PARA ESTUDIOS DE LAS HIJAS E HIJOS DE LAS TRABAJADORAS Y TRABAJADORES UNIVERSITARIOS</v>
      </c>
      <c r="AF22" s="71" t="str">
        <f>+'5.OBREROS'!BA5</f>
        <v>CONTRIBUCIÓN PARA JUGUETES NAVIDEÑOS DE LAS HIJAS E HIJOS DE LAS TRABAJADORAS Y TRABAJADORES</v>
      </c>
      <c r="AG22" s="71" t="str">
        <f>+'5.OBREROS'!BB5</f>
        <v>APORTE POR MATRIMONIO</v>
      </c>
      <c r="AH22" s="71" t="str">
        <f>+'5.OBREROS'!BC5</f>
        <v>CONTRIBUCIÓN PARA LA ADQUISICIÓN DE ÚTILES ESCOLARES</v>
      </c>
      <c r="AI22" s="71" t="str">
        <f>+'5.OBREROS'!BD5</f>
        <v>APORTE POR NACIMIENTO DE HIJAS E HIJOS</v>
      </c>
      <c r="AJ22" s="71" t="str">
        <f>+'5.OBREROS'!BE5</f>
        <v>GUARDERÍA PARA HIJOS LOS TRABAJADORES</v>
      </c>
      <c r="AK22" s="72" t="str">
        <f>+'5.OBREROS'!BF5</f>
        <v>COMISIONES Y GASTOS BANCARIOS</v>
      </c>
      <c r="AL22" s="72" t="str">
        <f>+'5.OBREROS'!BG5</f>
        <v>COMISIONES Y GASTOS DE ADQUISICION DE SEGUROS</v>
      </c>
      <c r="AM22" s="72" t="str">
        <f>+'5.OBREROS'!BH5</f>
        <v>SERVICIOS DE CAPACITACION Y ADIESTRAMIENTO</v>
      </c>
      <c r="AN22" s="72" t="str">
        <f>+'5.OBREROS'!BI5</f>
        <v>SERVICIOS DE DIVERSIÓN, ESPARCIMIENTO Y CULTURALES (ALMUERZO NAVIDEÑO)</v>
      </c>
      <c r="AO22" s="72" t="str">
        <f>+'5.OBREROS'!BJ5</f>
        <v>IMPUESTO AL VALOR AGREGADO
(IVA)</v>
      </c>
      <c r="AP22" s="72" t="str">
        <f>+'5.OBREROS'!BK5</f>
        <v>COMISIONES POR SERVICIOS PARA CUMPLIR CON LOS BENEFICIOS SOCIALES</v>
      </c>
      <c r="AQ22" s="72" t="str">
        <f>+'5.OBREROS'!BL5</f>
        <v>OTROS SERVICIOS NO PERSONALES</v>
      </c>
      <c r="AR22" s="72" t="str">
        <f>+'5.OBREROS'!BM5</f>
        <v>APORTE A LA PREVISIÓN SOCIAL</v>
      </c>
      <c r="AS22" s="72" t="str">
        <f>+'5.OBREROS'!BN5</f>
        <v>FINANCIAMIENTO DE ACTIVIDADES SINDICALES</v>
      </c>
      <c r="AT22" s="73" t="str">
        <f>+'5.OBREROS'!BO5</f>
        <v>MONTO MENSUAL POR CARGOS SEGUN FRECUENCIA</v>
      </c>
      <c r="AU22" s="55"/>
      <c r="ALC22" s="54"/>
      <c r="ALD22" s="54"/>
      <c r="ALE22" s="54"/>
      <c r="ALF22" s="54"/>
      <c r="ALG22" s="54"/>
    </row>
    <row r="23" spans="1:996" ht="13.9" customHeight="1" x14ac:dyDescent="0.2">
      <c r="A23" s="247"/>
      <c r="B23" s="247"/>
      <c r="C23" s="245"/>
      <c r="D23" s="78" t="str">
        <f>+'5.OBREROS'!Y6</f>
        <v>4.01.01.36.00</v>
      </c>
      <c r="E23" s="78">
        <f>+'5.OBREROS'!Z6</f>
        <v>0</v>
      </c>
      <c r="F23" s="78">
        <f>+'5.OBREROS'!AA6</f>
        <v>0</v>
      </c>
      <c r="G23" s="78">
        <f>+'5.OBREROS'!AB6</f>
        <v>0</v>
      </c>
      <c r="H23" s="78">
        <f>+'5.OBREROS'!AC6</f>
        <v>0</v>
      </c>
      <c r="I23" s="78">
        <f>+'5.OBREROS'!AD6</f>
        <v>0</v>
      </c>
      <c r="J23" s="78">
        <f>+'5.OBREROS'!AE6</f>
        <v>0</v>
      </c>
      <c r="K23" s="78">
        <f>+'5.OBREROS'!AF6</f>
        <v>0</v>
      </c>
      <c r="L23" s="78">
        <f>+'5.OBREROS'!AG6</f>
        <v>0</v>
      </c>
      <c r="M23" s="78">
        <f>+'5.OBREROS'!AH6</f>
        <v>0</v>
      </c>
      <c r="N23" s="78">
        <f>+'5.OBREROS'!AI6</f>
        <v>0</v>
      </c>
      <c r="O23" s="78">
        <f>+'5.OBREROS'!AJ6</f>
        <v>0</v>
      </c>
      <c r="P23" s="78">
        <f>+'5.OBREROS'!AK6</f>
        <v>0</v>
      </c>
      <c r="Q23" s="78">
        <f>+'5.OBREROS'!AL6</f>
        <v>0</v>
      </c>
      <c r="R23" s="78">
        <f>+'5.OBREROS'!AM6</f>
        <v>0</v>
      </c>
      <c r="S23" s="78" t="str">
        <f>+'5.OBREROS'!AN6</f>
        <v>4.01.04.51.00</v>
      </c>
      <c r="T23" s="78">
        <f>+'5.OBREROS'!AO6</f>
        <v>0</v>
      </c>
      <c r="U23" s="78">
        <f>+'5.OBREROS'!AP6</f>
        <v>0</v>
      </c>
      <c r="V23" s="78" t="str">
        <f>+'5.OBREROS'!AQ6</f>
        <v>4.01.05.18.00</v>
      </c>
      <c r="W23" s="78" t="str">
        <f>+'5.OBREROS'!AR6</f>
        <v>4.01.05.16.00</v>
      </c>
      <c r="X23" s="78" t="str">
        <f>+'5.OBREROS'!AS6</f>
        <v>4.01.06.39.00</v>
      </c>
      <c r="Y23" s="78" t="str">
        <f>+'5.OBREROS'!AT6</f>
        <v>4.01.06.41.00</v>
      </c>
      <c r="Z23" s="78" t="str">
        <f>+'5.OBREROS'!AU6</f>
        <v>4.01.06.42.00</v>
      </c>
      <c r="AA23" s="78" t="str">
        <f>+'5.OBREROS'!AV6</f>
        <v>4.01.06.43.00</v>
      </c>
      <c r="AB23" s="78" t="str">
        <f>+'5.OBREROS'!AW6</f>
        <v>4.01.07.68.00</v>
      </c>
      <c r="AC23" s="78" t="str">
        <f>+'5.OBREROS'!AX6</f>
        <v>4.01.08.07.00</v>
      </c>
      <c r="AD23" s="78" t="str">
        <f>+'5.OBREROS'!AY6</f>
        <v>4.01.07.69.00</v>
      </c>
      <c r="AE23" s="78">
        <f>+'5.OBREROS'!AZ6</f>
        <v>0</v>
      </c>
      <c r="AF23" s="78">
        <f>+'5.OBREROS'!BA6</f>
        <v>0</v>
      </c>
      <c r="AG23" s="78">
        <f>+'5.OBREROS'!BB6</f>
        <v>0</v>
      </c>
      <c r="AH23" s="78">
        <f>+'5.OBREROS'!BC6</f>
        <v>0</v>
      </c>
      <c r="AI23" s="78">
        <f>+'5.OBREROS'!BD6</f>
        <v>0</v>
      </c>
      <c r="AJ23" s="78">
        <f>+'5.OBREROS'!BE6</f>
        <v>0</v>
      </c>
      <c r="AK23" s="78" t="str">
        <f>+'5.OBREROS'!BF6</f>
        <v>4.03.08.02.00</v>
      </c>
      <c r="AL23" s="78" t="str">
        <f>+'5.OBREROS'!BG6</f>
        <v>4.03.08.03.00</v>
      </c>
      <c r="AM23" s="78" t="str">
        <f>+'5.OBREROS'!BH6</f>
        <v>4.03.10.07.00</v>
      </c>
      <c r="AN23" s="78" t="str">
        <f>+'5.OBREROS'!BI6</f>
        <v>4.03.16.01.00</v>
      </c>
      <c r="AO23" s="78" t="str">
        <f>+'5.OBREROS'!BJ6</f>
        <v>4.03.18.01.00</v>
      </c>
      <c r="AP23" s="78" t="str">
        <f>+'5.OBREROS'!BK6</f>
        <v>4.03.19.01.00</v>
      </c>
      <c r="AQ23" s="78" t="str">
        <f>+'5.OBREROS'!BL6</f>
        <v>4.03.99.01.00</v>
      </c>
      <c r="AR23" s="78" t="str">
        <f>+'5.OBREROS'!BM6</f>
        <v>4.07.01.01.75</v>
      </c>
      <c r="AS23" s="78" t="str">
        <f>+'5.OBREROS'!BN6</f>
        <v>4.07.01.01.75</v>
      </c>
      <c r="AT23" s="78"/>
      <c r="AU23" s="55"/>
      <c r="ALC23" s="54"/>
      <c r="ALD23" s="54"/>
      <c r="ALE23" s="54"/>
      <c r="ALF23" s="54"/>
      <c r="ALG23" s="54"/>
    </row>
    <row r="24" spans="1:996" ht="16.5" x14ac:dyDescent="0.25">
      <c r="A24" s="247"/>
      <c r="B24" s="247"/>
      <c r="C24" s="184">
        <f>+'5.OBREROS'!I15</f>
        <v>0</v>
      </c>
      <c r="D24" s="188">
        <f>+'5.OBREROS'!Y15</f>
        <v>0</v>
      </c>
      <c r="E24" s="188">
        <f>+'5.OBREROS'!Z15</f>
        <v>0</v>
      </c>
      <c r="F24" s="188">
        <f>+'5.OBREROS'!AA15</f>
        <v>0</v>
      </c>
      <c r="G24" s="188">
        <f>+'5.OBREROS'!AB15</f>
        <v>0</v>
      </c>
      <c r="H24" s="188">
        <f>+'5.OBREROS'!AC15</f>
        <v>0</v>
      </c>
      <c r="I24" s="188">
        <f>+'5.OBREROS'!AD15</f>
        <v>0</v>
      </c>
      <c r="J24" s="188">
        <f>+'5.OBREROS'!AE15</f>
        <v>0</v>
      </c>
      <c r="K24" s="188">
        <f>+'5.OBREROS'!AF15</f>
        <v>0</v>
      </c>
      <c r="L24" s="188">
        <f>+'5.OBREROS'!AG15</f>
        <v>0</v>
      </c>
      <c r="M24" s="188">
        <f>+'5.OBREROS'!AH15</f>
        <v>0</v>
      </c>
      <c r="N24" s="188">
        <f>+'5.OBREROS'!AI15</f>
        <v>0</v>
      </c>
      <c r="O24" s="188">
        <f>+'5.OBREROS'!AJ15</f>
        <v>0</v>
      </c>
      <c r="P24" s="188">
        <f>+'5.OBREROS'!AK15</f>
        <v>0</v>
      </c>
      <c r="Q24" s="188">
        <f>+'5.OBREROS'!AL15</f>
        <v>0</v>
      </c>
      <c r="R24" s="188">
        <f>+'5.OBREROS'!AM15</f>
        <v>0</v>
      </c>
      <c r="S24" s="188">
        <f>+'5.OBREROS'!AN15</f>
        <v>0</v>
      </c>
      <c r="T24" s="188">
        <f>+'5.OBREROS'!AO15</f>
        <v>0</v>
      </c>
      <c r="U24" s="188">
        <f>+'5.OBREROS'!AP15</f>
        <v>0</v>
      </c>
      <c r="V24" s="188">
        <f>+'5.OBREROS'!AQ15</f>
        <v>0</v>
      </c>
      <c r="W24" s="188">
        <f>+'5.OBREROS'!AR15</f>
        <v>0</v>
      </c>
      <c r="X24" s="188">
        <f>+'5.OBREROS'!AS15</f>
        <v>0</v>
      </c>
      <c r="Y24" s="188">
        <f>+'5.OBREROS'!AT15</f>
        <v>0</v>
      </c>
      <c r="Z24" s="188">
        <f>+'5.OBREROS'!AU15</f>
        <v>0</v>
      </c>
      <c r="AA24" s="188">
        <f>+'5.OBREROS'!AV15</f>
        <v>0</v>
      </c>
      <c r="AB24" s="188">
        <f>+'5.OBREROS'!AW15</f>
        <v>0</v>
      </c>
      <c r="AC24" s="188">
        <f>+'5.OBREROS'!AX15</f>
        <v>0</v>
      </c>
      <c r="AD24" s="188">
        <f>+'5.OBREROS'!AY15</f>
        <v>0</v>
      </c>
      <c r="AE24" s="188">
        <f>+'5.OBREROS'!AZ15</f>
        <v>0</v>
      </c>
      <c r="AF24" s="188">
        <f>+'5.OBREROS'!BA15</f>
        <v>0</v>
      </c>
      <c r="AG24" s="188">
        <f>+'5.OBREROS'!BB15</f>
        <v>0</v>
      </c>
      <c r="AH24" s="188">
        <f>+'5.OBREROS'!BC15</f>
        <v>0</v>
      </c>
      <c r="AI24" s="188">
        <f>+'5.OBREROS'!BD15</f>
        <v>0</v>
      </c>
      <c r="AJ24" s="188">
        <f>+'5.OBREROS'!BE15</f>
        <v>0</v>
      </c>
      <c r="AK24" s="188">
        <f>+'5.OBREROS'!BF15</f>
        <v>0</v>
      </c>
      <c r="AL24" s="188">
        <f>+'5.OBREROS'!BG15</f>
        <v>0</v>
      </c>
      <c r="AM24" s="188">
        <f>+'5.OBREROS'!BH15</f>
        <v>0</v>
      </c>
      <c r="AN24" s="188">
        <f>+'5.OBREROS'!BI15</f>
        <v>0</v>
      </c>
      <c r="AO24" s="188">
        <f>+'5.OBREROS'!BJ15</f>
        <v>0</v>
      </c>
      <c r="AP24" s="188">
        <f>+'5.OBREROS'!BK15</f>
        <v>0</v>
      </c>
      <c r="AQ24" s="188">
        <f>+'5.OBREROS'!BL15</f>
        <v>0</v>
      </c>
      <c r="AR24" s="188">
        <f>+'5.OBREROS'!BM15</f>
        <v>0</v>
      </c>
      <c r="AS24" s="188">
        <f>+'5.OBREROS'!BN15</f>
        <v>0</v>
      </c>
      <c r="AT24" s="188">
        <f>+'5.OBREROS'!BO15</f>
        <v>0</v>
      </c>
      <c r="AU24" s="55"/>
      <c r="ALC24" s="54"/>
      <c r="ALD24" s="54"/>
      <c r="ALE24" s="54"/>
      <c r="ALF24" s="54"/>
      <c r="ALG24" s="54"/>
    </row>
    <row r="25" spans="1:996" x14ac:dyDescent="0.2">
      <c r="A25"/>
      <c r="B25"/>
      <c r="C25"/>
    </row>
    <row r="26" spans="1:996" ht="12.75" customHeight="1" x14ac:dyDescent="0.2">
      <c r="A26" s="247" t="s">
        <v>360</v>
      </c>
      <c r="B26" s="247"/>
      <c r="C26" s="245" t="s">
        <v>423</v>
      </c>
    </row>
    <row r="27" spans="1:996" ht="135" x14ac:dyDescent="0.2">
      <c r="A27" s="247"/>
      <c r="B27" s="247"/>
      <c r="C27" s="245" t="s">
        <v>423</v>
      </c>
      <c r="D27" s="68" t="str">
        <f>+'6.CONTRATADOS'!Y5</f>
        <v>SUELDO BÁSICO EMPLEADOS</v>
      </c>
      <c r="E27" s="68" t="str">
        <f>+'6.CONTRATADOS'!Z5</f>
        <v>SUELDO BÁSICO OBREROS</v>
      </c>
      <c r="F27" s="68" t="str">
        <f>+'6.CONTRATADOS'!AA5</f>
        <v>DIFERENCIAS SUELDO BASE EMPLEADOS</v>
      </c>
      <c r="G27" s="68" t="str">
        <f>+'6.CONTRATADOS'!AB5</f>
        <v>HORAS EXTRAS DIURNAS EMPLEADOS</v>
      </c>
      <c r="H27" s="68" t="str">
        <f>+'6.CONTRATADOS'!AC5</f>
        <v>HORAS EXTRAS NOCTURNAS EMPLEADOS</v>
      </c>
      <c r="I27" s="68" t="str">
        <f>+'6.CONTRATADOS'!AD5</f>
        <v>DÍAS FERIADOS LABORADOS EMPLEADOS</v>
      </c>
      <c r="J27" s="69" t="str">
        <f>+'6.CONTRATADOS'!AE5</f>
        <v>PRIMA PARA LA ATENCION DE HIJAS E HIJOS CON DISCAPACIDAD. 200 U.T. POR HIJO</v>
      </c>
      <c r="K27" s="69" t="str">
        <f>+'6.CONTRATADOS'!AF5</f>
        <v>PRIMAR FAMILIAR 300 U.T MENSUAL</v>
      </c>
      <c r="L27" s="69" t="str">
        <f>+'6.CONTRATADOS'!AG5</f>
        <v>PRIMA DE APOYO A LA ACTIVIDAD DOCENTE Y DE INVESTIGACIÒN</v>
      </c>
      <c r="M27" s="69" t="str">
        <f>+'6.CONTRATADOS'!AH5</f>
        <v>PRIMA DE PROFESIONALIZACIÓN</v>
      </c>
      <c r="N27" s="69" t="str">
        <f>+'6.CONTRATADOS'!AI5</f>
        <v>PRIMA POR ANTIGUEDAD</v>
      </c>
      <c r="O27" s="69" t="str">
        <f>+'6.CONTRATADOS'!AJ5</f>
        <v>PRIMA PARA CHOFERES Y SUPERVISORES</v>
      </c>
      <c r="P27" s="69" t="str">
        <f>+'6.CONTRATADOS'!AK5</f>
        <v>PRIMA POR ESPECIALIZACIÓN PARA DOCENTE</v>
      </c>
      <c r="Q27" s="69" t="str">
        <f>+'6.CONTRATADOS'!AL5</f>
        <v>PRIMA POR MAESTRÍA PARA DOCENTE</v>
      </c>
      <c r="R27" s="69" t="str">
        <f>+'6.CONTRATADOS'!AM5</f>
        <v>PRIMA POR DOCTORADO PARA DOCENTE</v>
      </c>
      <c r="S27" s="69" t="str">
        <f>+'6.CONTRATADOS'!AN5</f>
        <v>COLOQUE SUS DATOS AQUI</v>
      </c>
      <c r="T27" s="69" t="str">
        <f>+'6.CONTRATADOS'!AO5</f>
        <v>COLOQUE SUS DATOS AQUI</v>
      </c>
      <c r="U27" s="69" t="str">
        <f>+'6.CONTRATADOS'!AP5</f>
        <v>COLOQUE SUS DATOS AQUI</v>
      </c>
      <c r="V27" s="69" t="str">
        <f>+'6.CONTRATADOS'!AQ5</f>
        <v>PRIMA POR CARGO, RESPONSABILIDAD O JERARQUÍA</v>
      </c>
      <c r="W27" s="59" t="str">
        <f>+'6.CONTRATADOS'!AR4</f>
        <v>SALARIO NORMAL</v>
      </c>
      <c r="X27" s="70" t="str">
        <f>+'6.CONTRATADOS'!AS5</f>
        <v>BONO ALIMENTACÍON EMPLEADOS</v>
      </c>
      <c r="Y27" s="70" t="str">
        <f>+'6.CONTRATADOS'!AT5</f>
        <v>COLOQUE SUS DATOS AQUI</v>
      </c>
      <c r="Z27" s="70" t="str">
        <f>+'6.CONTRATADOS'!AU5</f>
        <v>DIFERENCIA A PAGAR POR BONO ALIMENTACION EMPLEADOS</v>
      </c>
      <c r="AA27" s="69" t="str">
        <f>+'6.CONTRATADOS'!AV5</f>
        <v>BONO VACACIONAL EMPLEADOS</v>
      </c>
      <c r="AB27" s="69" t="str">
        <f>+'6.CONTRATADOS'!AW5</f>
        <v>BONIFICACIÓN DE FIN DE AÑO EMPLEADOS</v>
      </c>
      <c r="AC27" s="70" t="str">
        <f>+'6.CONTRATADOS'!AX5</f>
        <v>APORTE SSO EMPLEADOS</v>
      </c>
      <c r="AD27" s="70" t="str">
        <f>+'6.CONTRATADOS'!AY5</f>
        <v>APORTE FJP EMPLEADOS</v>
      </c>
      <c r="AE27" s="70" t="str">
        <f>+'6.CONTRATADOS'!AZ5</f>
        <v>APORTE SPF EMPLEADOS</v>
      </c>
      <c r="AF27" s="70" t="str">
        <f>+'6.CONTRATADOS'!BA5</f>
        <v>APORTE FAOV EMPLEADOS</v>
      </c>
      <c r="AG27" s="70" t="str">
        <f>+'6.CONTRATADOS'!BB5</f>
        <v>APORTE CAJA DE AHORROS EMPLEADOS</v>
      </c>
      <c r="AH27" s="70" t="str">
        <f>+'6.CONTRATADOS'!BC5</f>
        <v>PRESTACIONES SOCIALES EMPLEADOS</v>
      </c>
      <c r="AI27" s="70" t="str">
        <f>+'6.CONTRATADOS'!BD5</f>
        <v>APORTE PATRONAL A LOS SERVICIOS DE SALUD, ACCIDENTES PERSONALES Y GASTOS FUNERARIOS POR PERSONAL DE EMPLEADOS Y DE DIRECCIÓN</v>
      </c>
      <c r="AJ27" s="71" t="str">
        <f>+'6.CONTRATADOS'!BE5</f>
        <v>BECA PARA ESTUDIOS DE LAS HIJAS E HIJOS DE LAS TRABAJADORAS Y TRABAJADORES UNIVERSITARIOS</v>
      </c>
      <c r="AK27" s="71" t="str">
        <f>+'6.CONTRATADOS'!BF5</f>
        <v>CONTRIBUCIÓN PARA JUGUETES NAVIDEÑOS DE LAS HIJAS E HIJOS DE LAS TRABAJADORAS Y TRABAJADORES</v>
      </c>
      <c r="AL27" s="71" t="str">
        <f>+'6.CONTRATADOS'!BG5</f>
        <v>APORTE POR MATRIMONIO</v>
      </c>
      <c r="AM27" s="71" t="str">
        <f>+'6.CONTRATADOS'!BH5</f>
        <v>CONTRIBUCIÓN PARA LA ADQUISICIÓN DE ÚTILES ESCOLARES</v>
      </c>
      <c r="AN27" s="71" t="str">
        <f>+'6.CONTRATADOS'!BI5</f>
        <v>APORTE POR NACIMIENTO DE HIJAS E HIJOS</v>
      </c>
      <c r="AO27" s="71" t="str">
        <f>+'6.CONTRATADOS'!BJ5</f>
        <v>COMPLEMENTOS DE BECAS</v>
      </c>
      <c r="AP27" s="71" t="str">
        <f>+'6.CONTRATADOS'!BK5</f>
        <v>GUARDERÍA PARA HIJOS LOS TRABAJADORES</v>
      </c>
      <c r="AQ27" s="72" t="str">
        <f>+'6.CONTRATADOS'!BL5</f>
        <v>COMISIONES Y GASTOS BANCARIOS</v>
      </c>
      <c r="AR27" s="72" t="str">
        <f>+'6.CONTRATADOS'!BM5</f>
        <v>COMISIONES Y GASTOS DE ADQUISICION DE SEGUROS</v>
      </c>
      <c r="AS27" s="72" t="str">
        <f>+'6.CONTRATADOS'!BN5</f>
        <v>SERVICIOS DE CAPACITACION Y ADIESTRAMIENTO</v>
      </c>
      <c r="AT27" s="72" t="str">
        <f>+'6.CONTRATADOS'!BO5</f>
        <v>SERVICIOS DE DIVERSIÓN, ESPARCIMIENTO Y CULTURALES (ALMUERZO NAVIDEÑO)</v>
      </c>
      <c r="AU27" s="72" t="str">
        <f>+'6.CONTRATADOS'!BP5</f>
        <v>IMPUESTO AL VALOR AGREGADO
(IVA)</v>
      </c>
      <c r="AV27" s="72" t="str">
        <f>+'6.CONTRATADOS'!BQ5</f>
        <v>COMISIONES POR SERVICIOS PARA CUMPLIR CON LOS BENEFICIOS SOCIALES</v>
      </c>
      <c r="AW27" s="72" t="str">
        <f>+'6.CONTRATADOS'!BR5</f>
        <v>OTROS SERVICIOS NO PERSONALES</v>
      </c>
      <c r="AX27" s="72" t="str">
        <f>+'6.CONTRATADOS'!BS5</f>
        <v>APORTE A LA PREVISIÓN SOCIAL</v>
      </c>
      <c r="AY27" s="72" t="str">
        <f>+'6.CONTRATADOS'!BT5</f>
        <v>FINANCIAMIENTO DE ACTIVIDADES SINDICALES</v>
      </c>
      <c r="AZ27" s="73" t="str">
        <f>+'6.CONTRATADOS'!BU5</f>
        <v>MONTO MENSUAL POR CARGOS SEGUN FRECUENCIA</v>
      </c>
      <c r="ALC27" s="54"/>
      <c r="ALD27" s="54"/>
      <c r="ALE27" s="54"/>
      <c r="ALF27" s="54"/>
      <c r="ALG27" s="54"/>
      <c r="ALH27" s="54"/>
    </row>
    <row r="28" spans="1:996" x14ac:dyDescent="0.2">
      <c r="A28" s="247"/>
      <c r="B28" s="247"/>
      <c r="C28" s="245"/>
      <c r="D28" s="78" t="str">
        <f>+'6.CONTRATADOS'!Y6</f>
        <v>4.01.01.18.01</v>
      </c>
      <c r="E28" s="78" t="str">
        <f>+'6.CONTRATADOS'!Z6</f>
        <v>4.01.01.12.00</v>
      </c>
      <c r="F28" s="78">
        <f>+'6.CONTRATADOS'!AA6</f>
        <v>0</v>
      </c>
      <c r="G28" s="78">
        <f>+'6.CONTRATADOS'!AB6</f>
        <v>0</v>
      </c>
      <c r="H28" s="78">
        <f>+'6.CONTRATADOS'!AC6</f>
        <v>0</v>
      </c>
      <c r="I28" s="78">
        <f>+'6.CONTRATADOS'!AD6</f>
        <v>0</v>
      </c>
      <c r="J28" s="78">
        <f>+'6.CONTRATADOS'!AE6</f>
        <v>0</v>
      </c>
      <c r="K28" s="78">
        <f>+'6.CONTRATADOS'!AF6</f>
        <v>0</v>
      </c>
      <c r="L28" s="78">
        <f>+'6.CONTRATADOS'!AG6</f>
        <v>0</v>
      </c>
      <c r="M28" s="78">
        <f>+'6.CONTRATADOS'!AH6</f>
        <v>0</v>
      </c>
      <c r="N28" s="78">
        <f>+'6.CONTRATADOS'!AI6</f>
        <v>0</v>
      </c>
      <c r="O28" s="78">
        <f>+'6.CONTRATADOS'!AJ6</f>
        <v>0</v>
      </c>
      <c r="P28" s="78">
        <f>+'6.CONTRATADOS'!AK6</f>
        <v>0</v>
      </c>
      <c r="Q28" s="78">
        <f>+'6.CONTRATADOS'!AL6</f>
        <v>0</v>
      </c>
      <c r="R28" s="78">
        <f>+'6.CONTRATADOS'!AM6</f>
        <v>0</v>
      </c>
      <c r="S28" s="78">
        <f>+'6.CONTRATADOS'!AN6</f>
        <v>0</v>
      </c>
      <c r="T28" s="78">
        <f>+'6.CONTRATADOS'!AO6</f>
        <v>0</v>
      </c>
      <c r="U28" s="78">
        <f>+'6.CONTRATADOS'!AP6</f>
        <v>0</v>
      </c>
      <c r="V28" s="78">
        <f>+'6.CONTRATADOS'!AQ6</f>
        <v>0</v>
      </c>
      <c r="W28" s="78">
        <f>+'6.CONTRATADOS'!AR6</f>
        <v>0</v>
      </c>
      <c r="X28" s="78" t="str">
        <f>+'6.CONTRATADOS'!AS6</f>
        <v>4.01.04.51.00</v>
      </c>
      <c r="Y28" s="78">
        <f>+'6.CONTRATADOS'!AT6</f>
        <v>0</v>
      </c>
      <c r="Z28" s="78">
        <f>+'6.CONTRATADOS'!AU6</f>
        <v>0</v>
      </c>
      <c r="AA28" s="78" t="str">
        <f>+'6.CONTRATADOS'!AV6</f>
        <v>4.01.05.18.00</v>
      </c>
      <c r="AB28" s="78" t="str">
        <f>+'6.CONTRATADOS'!AW6</f>
        <v>4.01.05.16.00</v>
      </c>
      <c r="AC28" s="78" t="str">
        <f>+'6.CONTRATADOS'!AX6</f>
        <v>4.01.06.39.00</v>
      </c>
      <c r="AD28" s="78" t="str">
        <f>+'6.CONTRATADOS'!AY6</f>
        <v>4.01.06.41.00</v>
      </c>
      <c r="AE28" s="78" t="str">
        <f>+'6.CONTRATADOS'!AZ6</f>
        <v>4.01.06.42.00</v>
      </c>
      <c r="AF28" s="78" t="str">
        <f>+'6.CONTRATADOS'!BA6</f>
        <v>4.01.06.43.00</v>
      </c>
      <c r="AG28" s="78" t="str">
        <f>+'6.CONTRATADOS'!BB6</f>
        <v>4.01.07.68.00</v>
      </c>
      <c r="AH28" s="78" t="str">
        <f>+'6.CONTRATADOS'!BC6</f>
        <v>4.01.08.07.00</v>
      </c>
      <c r="AI28" s="78" t="str">
        <f>+'6.CONTRATADOS'!BD6</f>
        <v>4.01.07.69.00</v>
      </c>
      <c r="AJ28" s="78">
        <f>+'6.CONTRATADOS'!BE6</f>
        <v>0</v>
      </c>
      <c r="AK28" s="78">
        <f>+'6.CONTRATADOS'!BF6</f>
        <v>0</v>
      </c>
      <c r="AL28" s="78">
        <f>+'6.CONTRATADOS'!BG6</f>
        <v>0</v>
      </c>
      <c r="AM28" s="78">
        <f>+'6.CONTRATADOS'!BH6</f>
        <v>0</v>
      </c>
      <c r="AN28" s="78">
        <f>+'6.CONTRATADOS'!BI6</f>
        <v>0</v>
      </c>
      <c r="AO28" s="78">
        <f>+'6.CONTRATADOS'!BJ6</f>
        <v>0</v>
      </c>
      <c r="AP28" s="78">
        <f>+'6.CONTRATADOS'!BK6</f>
        <v>0</v>
      </c>
      <c r="AQ28" s="78" t="str">
        <f>+'6.CONTRATADOS'!BL6</f>
        <v>4.03.08.02.00</v>
      </c>
      <c r="AR28" s="78" t="str">
        <f>+'6.CONTRATADOS'!BM6</f>
        <v>4.03.08.03.00</v>
      </c>
      <c r="AS28" s="78" t="str">
        <f>+'6.CONTRATADOS'!BN6</f>
        <v>4.03.10.07.00</v>
      </c>
      <c r="AT28" s="78" t="str">
        <f>+'6.CONTRATADOS'!BO6</f>
        <v>4.03.16.01.00</v>
      </c>
      <c r="AU28" s="78" t="str">
        <f>+'6.CONTRATADOS'!BP6</f>
        <v>4.03.18.01.00</v>
      </c>
      <c r="AV28" s="78" t="str">
        <f>+'6.CONTRATADOS'!BQ6</f>
        <v>4.03.19.01.00</v>
      </c>
      <c r="AW28" s="78" t="str">
        <f>+'6.CONTRATADOS'!BR6</f>
        <v>4.03.99.01.00</v>
      </c>
      <c r="AX28" s="78" t="str">
        <f>+'6.CONTRATADOS'!BS6</f>
        <v>4.07.01.01.75</v>
      </c>
      <c r="AY28" s="78" t="str">
        <f>+'6.CONTRATADOS'!BT6</f>
        <v>4.07.01.01.75</v>
      </c>
      <c r="AZ28" s="78"/>
      <c r="ALC28" s="54"/>
      <c r="ALD28" s="54"/>
      <c r="ALE28" s="54"/>
      <c r="ALF28" s="54"/>
      <c r="ALG28" s="54"/>
      <c r="ALH28" s="54"/>
    </row>
    <row r="29" spans="1:996" ht="16.5" x14ac:dyDescent="0.25">
      <c r="A29" s="247"/>
      <c r="B29" s="247"/>
      <c r="C29" s="184">
        <f>+'6.CONTRATADOS'!I15</f>
        <v>0</v>
      </c>
      <c r="D29" s="188">
        <f>+'6.CONTRATADOS'!Y15</f>
        <v>0</v>
      </c>
      <c r="E29" s="188">
        <f>+'6.CONTRATADOS'!Z15</f>
        <v>0</v>
      </c>
      <c r="F29" s="188">
        <f>+'6.CONTRATADOS'!AA15</f>
        <v>0</v>
      </c>
      <c r="G29" s="188">
        <f>+'6.CONTRATADOS'!AB15</f>
        <v>0</v>
      </c>
      <c r="H29" s="188">
        <f>+'6.CONTRATADOS'!AC15</f>
        <v>0</v>
      </c>
      <c r="I29" s="188">
        <f>+'6.CONTRATADOS'!AD15</f>
        <v>0</v>
      </c>
      <c r="J29" s="188">
        <f>+'6.CONTRATADOS'!AE15</f>
        <v>0</v>
      </c>
      <c r="K29" s="188">
        <f>+'6.CONTRATADOS'!AF15</f>
        <v>0</v>
      </c>
      <c r="L29" s="188">
        <f>+'6.CONTRATADOS'!AG15</f>
        <v>0</v>
      </c>
      <c r="M29" s="188">
        <f>+'6.CONTRATADOS'!AH15</f>
        <v>0</v>
      </c>
      <c r="N29" s="188">
        <f>+'6.CONTRATADOS'!AI15</f>
        <v>0</v>
      </c>
      <c r="O29" s="188">
        <f>+'6.CONTRATADOS'!AJ15</f>
        <v>0</v>
      </c>
      <c r="P29" s="188">
        <f>+'6.CONTRATADOS'!AK15</f>
        <v>0</v>
      </c>
      <c r="Q29" s="188">
        <f>+'6.CONTRATADOS'!AL15</f>
        <v>0</v>
      </c>
      <c r="R29" s="188">
        <f>+'6.CONTRATADOS'!AM15</f>
        <v>0</v>
      </c>
      <c r="S29" s="188">
        <f>+'6.CONTRATADOS'!AN15</f>
        <v>0</v>
      </c>
      <c r="T29" s="188">
        <f>+'6.CONTRATADOS'!AO15</f>
        <v>0</v>
      </c>
      <c r="U29" s="188">
        <f>+'6.CONTRATADOS'!AP15</f>
        <v>0</v>
      </c>
      <c r="V29" s="188">
        <f>+'6.CONTRATADOS'!AQ15</f>
        <v>0</v>
      </c>
      <c r="W29" s="188">
        <f>+'6.CONTRATADOS'!AR15</f>
        <v>0</v>
      </c>
      <c r="X29" s="188">
        <f>+'6.CONTRATADOS'!AS15</f>
        <v>0</v>
      </c>
      <c r="Y29" s="188">
        <f>+'6.CONTRATADOS'!AT15</f>
        <v>0</v>
      </c>
      <c r="Z29" s="188">
        <f>+'6.CONTRATADOS'!AU15</f>
        <v>0</v>
      </c>
      <c r="AA29" s="188">
        <f>+'6.CONTRATADOS'!AV15</f>
        <v>0</v>
      </c>
      <c r="AB29" s="188">
        <f>+'6.CONTRATADOS'!AW15</f>
        <v>0</v>
      </c>
      <c r="AC29" s="188">
        <f>+'6.CONTRATADOS'!AX15</f>
        <v>0</v>
      </c>
      <c r="AD29" s="188">
        <f>+'6.CONTRATADOS'!AY15</f>
        <v>0</v>
      </c>
      <c r="AE29" s="188">
        <f>+'6.CONTRATADOS'!AZ15</f>
        <v>0</v>
      </c>
      <c r="AF29" s="188">
        <f>+'6.CONTRATADOS'!BA15</f>
        <v>0</v>
      </c>
      <c r="AG29" s="188">
        <f>+'6.CONTRATADOS'!BB15</f>
        <v>0</v>
      </c>
      <c r="AH29" s="188">
        <f>+'6.CONTRATADOS'!BC15</f>
        <v>0</v>
      </c>
      <c r="AI29" s="188">
        <f>+'6.CONTRATADOS'!BD15</f>
        <v>0</v>
      </c>
      <c r="AJ29" s="188">
        <f>+'6.CONTRATADOS'!BE15</f>
        <v>0</v>
      </c>
      <c r="AK29" s="188">
        <f>+'6.CONTRATADOS'!BF15</f>
        <v>0</v>
      </c>
      <c r="AL29" s="188">
        <f>+'6.CONTRATADOS'!BG15</f>
        <v>0</v>
      </c>
      <c r="AM29" s="188">
        <f>+'6.CONTRATADOS'!BH15</f>
        <v>0</v>
      </c>
      <c r="AN29" s="188">
        <f>+'6.CONTRATADOS'!BI15</f>
        <v>0</v>
      </c>
      <c r="AO29" s="188">
        <f>+'6.CONTRATADOS'!BJ15</f>
        <v>0</v>
      </c>
      <c r="AP29" s="188">
        <f>+'6.CONTRATADOS'!BK15</f>
        <v>0</v>
      </c>
      <c r="AQ29" s="188">
        <f>+'6.CONTRATADOS'!BL15</f>
        <v>0</v>
      </c>
      <c r="AR29" s="188">
        <f>+'6.CONTRATADOS'!BM15</f>
        <v>0</v>
      </c>
      <c r="AS29" s="188">
        <f>+'6.CONTRATADOS'!BN15</f>
        <v>0</v>
      </c>
      <c r="AT29" s="188">
        <f>+'6.CONTRATADOS'!BO15</f>
        <v>0</v>
      </c>
      <c r="AU29" s="188">
        <f>+'6.CONTRATADOS'!BP15</f>
        <v>0</v>
      </c>
      <c r="AV29" s="188">
        <f>+'6.CONTRATADOS'!BQ15</f>
        <v>0</v>
      </c>
      <c r="AW29" s="188">
        <f>+'6.CONTRATADOS'!BR15</f>
        <v>0</v>
      </c>
      <c r="AX29" s="188">
        <f>+'6.CONTRATADOS'!BS15</f>
        <v>0</v>
      </c>
      <c r="AY29" s="188">
        <f>+'6.CONTRATADOS'!BT15</f>
        <v>0</v>
      </c>
      <c r="AZ29" s="188">
        <f>+'6.CONTRATADOS'!BU15</f>
        <v>0</v>
      </c>
      <c r="ALC29" s="54"/>
      <c r="ALD29" s="54"/>
      <c r="ALE29" s="54"/>
      <c r="ALF29" s="54"/>
      <c r="ALG29" s="54"/>
      <c r="ALH29" s="54"/>
    </row>
    <row r="30" spans="1:996" x14ac:dyDescent="0.2">
      <c r="A30"/>
      <c r="B30"/>
      <c r="C30"/>
    </row>
    <row r="31" spans="1:996" ht="12.75" customHeight="1" x14ac:dyDescent="0.2">
      <c r="A31" s="247" t="s">
        <v>426</v>
      </c>
      <c r="B31" s="247"/>
      <c r="C31" s="245" t="s">
        <v>423</v>
      </c>
    </row>
    <row r="32" spans="1:996" ht="39" customHeight="1" x14ac:dyDescent="0.2">
      <c r="A32" s="247"/>
      <c r="B32" s="247"/>
      <c r="C32" s="245" t="s">
        <v>423</v>
      </c>
      <c r="D32" s="68" t="s">
        <v>368</v>
      </c>
      <c r="E32" s="68" t="s">
        <v>369</v>
      </c>
      <c r="F32" s="73" t="s">
        <v>370</v>
      </c>
    </row>
    <row r="33" spans="1:991" ht="39" customHeight="1" x14ac:dyDescent="0.2">
      <c r="A33" s="247"/>
      <c r="B33" s="247"/>
      <c r="C33" s="245"/>
      <c r="D33" s="78" t="s">
        <v>371</v>
      </c>
      <c r="E33" s="78" t="s">
        <v>245</v>
      </c>
      <c r="F33" s="78"/>
    </row>
    <row r="34" spans="1:991" ht="16.5" x14ac:dyDescent="0.25">
      <c r="A34" s="247"/>
      <c r="B34" s="247"/>
      <c r="C34" s="184">
        <f>+'7.HP'!C17</f>
        <v>0</v>
      </c>
      <c r="D34" s="188">
        <f>+'7.HP'!G15</f>
        <v>0</v>
      </c>
      <c r="E34" s="188">
        <f>+'7.HP'!H15</f>
        <v>0</v>
      </c>
      <c r="F34" s="188">
        <f>+'7.HP'!I15</f>
        <v>0</v>
      </c>
    </row>
    <row r="35" spans="1:991" x14ac:dyDescent="0.2">
      <c r="A35"/>
      <c r="B35"/>
      <c r="C35"/>
    </row>
    <row r="36" spans="1:991" ht="12.75" customHeight="1" x14ac:dyDescent="0.2">
      <c r="A36" s="247" t="s">
        <v>418</v>
      </c>
      <c r="B36" s="247"/>
      <c r="C36" s="245" t="s">
        <v>423</v>
      </c>
    </row>
    <row r="37" spans="1:991" ht="108" x14ac:dyDescent="0.2">
      <c r="A37" s="247"/>
      <c r="B37" s="247"/>
      <c r="C37" s="245" t="s">
        <v>423</v>
      </c>
      <c r="D37" s="68" t="str">
        <f>+'10.COMISION'!Y5</f>
        <v>COMPLEMENTO  POR COMISIÓN DE SERVICIOS</v>
      </c>
      <c r="E37" s="68" t="str">
        <f>+'10.COMISION'!Z5</f>
        <v>DIFERENCIAS COMPLEMENTO  POR COMISIÓN DE SERVICIOS</v>
      </c>
      <c r="F37" s="68" t="str">
        <f>+'10.COMISION'!AA5</f>
        <v>HORAS EXTRAS DIURNAS EMPLEADOS</v>
      </c>
      <c r="G37" s="68" t="str">
        <f>+'10.COMISION'!AB5</f>
        <v>HORAS EXTRAS NOCTURNAS EMPLEADOS</v>
      </c>
      <c r="H37" s="68" t="str">
        <f>+'10.COMISION'!AC5</f>
        <v>DÍAS FERIADOS LABORADOS EMPLEADOS</v>
      </c>
      <c r="I37" s="69" t="str">
        <f>+'10.COMISION'!AD5</f>
        <v>PRIMA PARA LA ATENCION DE HIJAS E HIJOS CON DISCAPACIDAD. 200 U.T. POR HIJO</v>
      </c>
      <c r="J37" s="69" t="str">
        <f>+'10.COMISION'!AE5</f>
        <v>PRIMAR FAMILIAR 300 U.T MENSUAL</v>
      </c>
      <c r="K37" s="69" t="str">
        <f>+'10.COMISION'!AF5</f>
        <v>PRIMA DE APOYO A LA ACTIVIDAD DOCENTE Y DE INVESTIGACIÒN</v>
      </c>
      <c r="L37" s="69" t="str">
        <f>+'10.COMISION'!AG5</f>
        <v>PRIMA DE PROFESIONALIZACIÓN</v>
      </c>
      <c r="M37" s="69" t="str">
        <f>+'10.COMISION'!AH5</f>
        <v>PRIMA POR ANTIGUEDAD</v>
      </c>
      <c r="N37" s="69" t="str">
        <f>+'10.COMISION'!AI5</f>
        <v>PRIMA PARA CHOFERES Y SUPERVISORES</v>
      </c>
      <c r="O37" s="69" t="str">
        <f>+'10.COMISION'!AJ5</f>
        <v>PRIMA POR ESPECIALIZACIÓN PARA DOCENTE</v>
      </c>
      <c r="P37" s="69" t="str">
        <f>+'10.COMISION'!AK5</f>
        <v>PRIMA POR MAESTRÍA PARA DOCENTE</v>
      </c>
      <c r="Q37" s="69" t="str">
        <f>+'10.COMISION'!AL5</f>
        <v>PRIMA POR DOCTORADO PARA DOCENTE</v>
      </c>
      <c r="R37" s="69" t="str">
        <f>+'10.COMISION'!AM5</f>
        <v>PRIMA POR CARGO, RESPONSABILIDAD O JERARQUÍA</v>
      </c>
      <c r="S37" s="59" t="str">
        <f>+'10.COMISION'!AN4</f>
        <v>SALARIO NORMAL</v>
      </c>
      <c r="T37" s="70" t="str">
        <f>+'10.COMISION'!AO5</f>
        <v>BONO ALIMENTACÍON EMPLEADOS</v>
      </c>
      <c r="U37" s="70" t="str">
        <f>+'10.COMISION'!AP5</f>
        <v>DIFERENCIA A PAGAR POR BONO ALIMENTACION EMPLEADOS</v>
      </c>
      <c r="V37" s="69" t="str">
        <f>+'10.COMISION'!AQ5</f>
        <v>BONO VACACIONAL EMPLEADOS</v>
      </c>
      <c r="W37" s="69" t="str">
        <f>+'10.COMISION'!AR5</f>
        <v>BONIFICACIÓN DE FIN DE AÑO EMPLEADOS</v>
      </c>
      <c r="X37" s="70" t="str">
        <f>+'10.COMISION'!AS5</f>
        <v>APORTE SSO EMPLEADOS</v>
      </c>
      <c r="Y37" s="70" t="str">
        <f>+'10.COMISION'!AT5</f>
        <v>APORTE FJP EMPLEADOS</v>
      </c>
      <c r="Z37" s="70" t="str">
        <f>+'10.COMISION'!AU5</f>
        <v>APORTE SPF EMPLEADOS</v>
      </c>
      <c r="AA37" s="70" t="str">
        <f>+'10.COMISION'!AV5</f>
        <v>APORTE FAOV EMPLEADOS</v>
      </c>
      <c r="AB37" s="70" t="str">
        <f>+'10.COMISION'!AW5</f>
        <v>APORTE CAJA DE AHORROS EMPLEADOS</v>
      </c>
      <c r="AC37" s="70" t="str">
        <f>+'10.COMISION'!AX5</f>
        <v>PRESTACIONES SOCIALES EMPLEADOS</v>
      </c>
      <c r="AD37" s="70" t="str">
        <f>+'10.COMISION'!AY5</f>
        <v>APORTE PATRONAL A LOS SERVICIOS DE SALUD, ACCIDENTES PERSONALES Y GASTOS FUNERARIOS POR PERSONAL DE EMPLEADOS Y DE DIRECCIÓN</v>
      </c>
      <c r="AE37" s="71" t="str">
        <f>+'10.COMISION'!AZ5</f>
        <v>BECA PARA ESTUDIOS DE LAS HIJAS E HIJOS DE LAS TRABAJADORAS Y TRABAJADORES UNIVERSITARIOS</v>
      </c>
      <c r="AF37" s="71" t="str">
        <f>+'10.COMISION'!BA5</f>
        <v>CONTRIBUCIÓN PARA JUGUETES NAVIDEÑOS DE LAS HIJAS E HIJOS DE LAS TRABAJADORAS Y TRABAJADORES</v>
      </c>
      <c r="AG37" s="71" t="str">
        <f>+'10.COMISION'!BB5</f>
        <v>APORTE POR MATRIMONIO</v>
      </c>
      <c r="AH37" s="71" t="str">
        <f>+'10.COMISION'!BC5</f>
        <v>CONTRIBUCIÓN PARA LA ADQUISICIÓN DE ÚTILES ESCOLARES</v>
      </c>
      <c r="AI37" s="71" t="str">
        <f>+'10.COMISION'!BD5</f>
        <v>APORTE POR NACIMIENTO DE HIJAS E HIJOS</v>
      </c>
      <c r="AJ37" s="71" t="str">
        <f>+'10.COMISION'!BE5</f>
        <v>GUARDERÍA PARA HIJOS LOS TRABAJADORES</v>
      </c>
      <c r="AK37" s="72" t="str">
        <f>+'10.COMISION'!BF5</f>
        <v>COMISIONES Y GASTOS BANCARIOS</v>
      </c>
      <c r="AL37" s="72" t="str">
        <f>+'10.COMISION'!BG5</f>
        <v>COMISIONES Y GASTOS DE ADQUISICION DE SEGUROS</v>
      </c>
      <c r="AM37" s="72" t="str">
        <f>+'10.COMISION'!BH5</f>
        <v>SERVICIOS DE CAPACITACION Y ADIESTRAMIENTO</v>
      </c>
      <c r="AN37" s="72" t="str">
        <f>+'10.COMISION'!BI5</f>
        <v>SERVICIOS DE DIVERSIÓN, ESPARCIMIENTO Y CULTURALES (ALMUERZO NAVIDEÑO)</v>
      </c>
      <c r="AO37" s="72" t="str">
        <f>+'10.COMISION'!BJ5</f>
        <v>IMPUESTO AL VALOR AGREGADO
(IVA)</v>
      </c>
      <c r="AP37" s="72" t="str">
        <f>+'10.COMISION'!BK5</f>
        <v>COMISIONES POR SERVICIOS PARA CUMPLIR CON LOS BENEFICIOS SOCIALES</v>
      </c>
      <c r="AQ37" s="72" t="str">
        <f>+'10.COMISION'!BL5</f>
        <v>OTROS SERVICIOS NO PERSONALES</v>
      </c>
      <c r="AR37" s="72" t="str">
        <f>+'10.COMISION'!BM5</f>
        <v>APORTE A LA PREVISIÓN SOCIAL</v>
      </c>
      <c r="AS37" s="72" t="str">
        <f>+'10.COMISION'!BN5</f>
        <v>FINANCIAMIENTO DE ACTIVIDADES SINDICALES</v>
      </c>
      <c r="AT37" s="73" t="str">
        <f>+'10.COMISION'!BO5</f>
        <v>MONTO MENSUAL POR CARGOS SEGUN FRECUENCIA</v>
      </c>
      <c r="ALC37" s="54"/>
    </row>
    <row r="38" spans="1:991" x14ac:dyDescent="0.2">
      <c r="A38" s="247"/>
      <c r="B38" s="247"/>
      <c r="C38" s="245"/>
      <c r="D38" s="78">
        <f>+'10.COMISION'!Y6</f>
        <v>0</v>
      </c>
      <c r="E38" s="78">
        <f>+'10.COMISION'!Z6</f>
        <v>0</v>
      </c>
      <c r="F38" s="78">
        <f>+'10.COMISION'!AA6</f>
        <v>0</v>
      </c>
      <c r="G38" s="78">
        <f>+'10.COMISION'!AB6</f>
        <v>0</v>
      </c>
      <c r="H38" s="78">
        <f>+'10.COMISION'!AC6</f>
        <v>0</v>
      </c>
      <c r="I38" s="78">
        <f>+'10.COMISION'!AD6</f>
        <v>0</v>
      </c>
      <c r="J38" s="78">
        <f>+'10.COMISION'!AE6</f>
        <v>0</v>
      </c>
      <c r="K38" s="78">
        <f>+'10.COMISION'!AF6</f>
        <v>0</v>
      </c>
      <c r="L38" s="78">
        <f>+'10.COMISION'!AG6</f>
        <v>0</v>
      </c>
      <c r="M38" s="78">
        <f>+'10.COMISION'!AH6</f>
        <v>0</v>
      </c>
      <c r="N38" s="78">
        <f>+'10.COMISION'!AI6</f>
        <v>0</v>
      </c>
      <c r="O38" s="78">
        <f>+'10.COMISION'!AJ6</f>
        <v>0</v>
      </c>
      <c r="P38" s="78">
        <f>+'10.COMISION'!AK6</f>
        <v>0</v>
      </c>
      <c r="Q38" s="78">
        <f>+'10.COMISION'!AL6</f>
        <v>0</v>
      </c>
      <c r="R38" s="78">
        <f>+'10.COMISION'!AM6</f>
        <v>0</v>
      </c>
      <c r="S38" s="78">
        <f>+'10.COMISION'!AN6</f>
        <v>0</v>
      </c>
      <c r="T38" s="78" t="str">
        <f>+'10.COMISION'!AO6</f>
        <v>4.01.04.51.00</v>
      </c>
      <c r="U38" s="78">
        <f>+'10.COMISION'!AP6</f>
        <v>0</v>
      </c>
      <c r="V38" s="78" t="str">
        <f>+'10.COMISION'!AQ6</f>
        <v>4.01.05.18.00</v>
      </c>
      <c r="W38" s="78" t="str">
        <f>+'10.COMISION'!AR6</f>
        <v>4.01.05.16.00</v>
      </c>
      <c r="X38" s="78" t="str">
        <f>+'10.COMISION'!AS6</f>
        <v>4.01.06.39.00</v>
      </c>
      <c r="Y38" s="78" t="str">
        <f>+'10.COMISION'!AT6</f>
        <v>4.01.06.41.00</v>
      </c>
      <c r="Z38" s="78" t="str">
        <f>+'10.COMISION'!AU6</f>
        <v>4.01.06.42.00</v>
      </c>
      <c r="AA38" s="78" t="str">
        <f>+'10.COMISION'!AV6</f>
        <v>4.01.06.43.00</v>
      </c>
      <c r="AB38" s="78" t="str">
        <f>+'10.COMISION'!AW6</f>
        <v>4.01.07.68.00</v>
      </c>
      <c r="AC38" s="78" t="str">
        <f>+'10.COMISION'!AX6</f>
        <v>4.01.08.07.00</v>
      </c>
      <c r="AD38" s="78" t="str">
        <f>+'10.COMISION'!AY6</f>
        <v>4.01.07.69.00</v>
      </c>
      <c r="AE38" s="78">
        <f>+'10.COMISION'!AZ6</f>
        <v>0</v>
      </c>
      <c r="AF38" s="78">
        <f>+'10.COMISION'!BA6</f>
        <v>0</v>
      </c>
      <c r="AG38" s="78">
        <f>+'10.COMISION'!BB6</f>
        <v>0</v>
      </c>
      <c r="AH38" s="78">
        <f>+'10.COMISION'!BC6</f>
        <v>0</v>
      </c>
      <c r="AI38" s="78">
        <f>+'10.COMISION'!BD6</f>
        <v>0</v>
      </c>
      <c r="AJ38" s="78">
        <f>+'10.COMISION'!BE6</f>
        <v>0</v>
      </c>
      <c r="AK38" s="78" t="str">
        <f>+'10.COMISION'!BF6</f>
        <v>4.03.08.02.00</v>
      </c>
      <c r="AL38" s="78" t="str">
        <f>+'10.COMISION'!BG6</f>
        <v>4.03.08.03.00</v>
      </c>
      <c r="AM38" s="78" t="str">
        <f>+'10.COMISION'!BH6</f>
        <v>4.03.10.07.00</v>
      </c>
      <c r="AN38" s="78" t="str">
        <f>+'10.COMISION'!BI6</f>
        <v>4.03.16.01.00</v>
      </c>
      <c r="AO38" s="78" t="str">
        <f>+'10.COMISION'!BJ6</f>
        <v>4.03.18.01.00</v>
      </c>
      <c r="AP38" s="78" t="str">
        <f>+'10.COMISION'!BK6</f>
        <v>4.03.19.01.00</v>
      </c>
      <c r="AQ38" s="78" t="str">
        <f>+'10.COMISION'!BL6</f>
        <v>4.03.99.01.00</v>
      </c>
      <c r="AR38" s="78" t="str">
        <f>+'10.COMISION'!BM6</f>
        <v>4.07.01.01.75</v>
      </c>
      <c r="AS38" s="78" t="str">
        <f>+'10.COMISION'!BN6</f>
        <v>4.07.01.01.75</v>
      </c>
      <c r="AT38" s="78">
        <f>+'10.COMISION'!BO6</f>
        <v>0</v>
      </c>
      <c r="ALC38" s="54"/>
    </row>
    <row r="39" spans="1:991" ht="16.5" x14ac:dyDescent="0.25">
      <c r="A39" s="247"/>
      <c r="B39" s="247"/>
      <c r="C39" s="184">
        <f>+'10.COMISION'!I15</f>
        <v>0</v>
      </c>
      <c r="D39" s="189">
        <f>+'10.COMISION'!Y15</f>
        <v>0</v>
      </c>
      <c r="E39" s="189">
        <f>+'10.COMISION'!Z15</f>
        <v>0</v>
      </c>
      <c r="F39" s="189">
        <f>+'10.COMISION'!AA15</f>
        <v>0</v>
      </c>
      <c r="G39" s="189">
        <f>+'10.COMISION'!AB15</f>
        <v>0</v>
      </c>
      <c r="H39" s="189">
        <f>+'10.COMISION'!AC15</f>
        <v>0</v>
      </c>
      <c r="I39" s="189">
        <f>+'10.COMISION'!AD15</f>
        <v>0</v>
      </c>
      <c r="J39" s="189">
        <f>+'10.COMISION'!AE15</f>
        <v>0</v>
      </c>
      <c r="K39" s="189">
        <f>+'10.COMISION'!AF15</f>
        <v>0</v>
      </c>
      <c r="L39" s="189">
        <f>+'10.COMISION'!AG15</f>
        <v>0</v>
      </c>
      <c r="M39" s="189">
        <f>+'10.COMISION'!AH15</f>
        <v>0</v>
      </c>
      <c r="N39" s="189">
        <f>+'10.COMISION'!AI15</f>
        <v>0</v>
      </c>
      <c r="O39" s="189">
        <f>+'10.COMISION'!AJ15</f>
        <v>0</v>
      </c>
      <c r="P39" s="189">
        <f>+'10.COMISION'!AK15</f>
        <v>0</v>
      </c>
      <c r="Q39" s="189">
        <f>+'10.COMISION'!AL15</f>
        <v>0</v>
      </c>
      <c r="R39" s="189">
        <f>+'10.COMISION'!AM15</f>
        <v>0</v>
      </c>
      <c r="S39" s="189">
        <f>+'10.COMISION'!AN15</f>
        <v>0</v>
      </c>
      <c r="T39" s="189">
        <f>+'10.COMISION'!AO15</f>
        <v>0</v>
      </c>
      <c r="U39" s="189">
        <f>+'10.COMISION'!AP15</f>
        <v>0</v>
      </c>
      <c r="V39" s="189">
        <f>+'10.COMISION'!AQ15</f>
        <v>0</v>
      </c>
      <c r="W39" s="189">
        <f>+'10.COMISION'!AR15</f>
        <v>0</v>
      </c>
      <c r="X39" s="189">
        <f>+'10.COMISION'!AS15</f>
        <v>0</v>
      </c>
      <c r="Y39" s="189">
        <f>+'10.COMISION'!AT15</f>
        <v>0</v>
      </c>
      <c r="Z39" s="189">
        <f>+'10.COMISION'!AU15</f>
        <v>0</v>
      </c>
      <c r="AA39" s="189">
        <f>+'10.COMISION'!AV15</f>
        <v>0</v>
      </c>
      <c r="AB39" s="189">
        <f>+'10.COMISION'!AW15</f>
        <v>0</v>
      </c>
      <c r="AC39" s="189">
        <f>+'10.COMISION'!AX15</f>
        <v>0</v>
      </c>
      <c r="AD39" s="189">
        <f>+'10.COMISION'!AY15</f>
        <v>0</v>
      </c>
      <c r="AE39" s="189">
        <f>+'10.COMISION'!AZ15</f>
        <v>0</v>
      </c>
      <c r="AF39" s="189">
        <f>+'10.COMISION'!BA15</f>
        <v>0</v>
      </c>
      <c r="AG39" s="189">
        <f>+'10.COMISION'!BB15</f>
        <v>0</v>
      </c>
      <c r="AH39" s="189">
        <f>+'10.COMISION'!BC15</f>
        <v>0</v>
      </c>
      <c r="AI39" s="189">
        <f>+'10.COMISION'!BD15</f>
        <v>0</v>
      </c>
      <c r="AJ39" s="189">
        <f>+'10.COMISION'!BE15</f>
        <v>0</v>
      </c>
      <c r="AK39" s="189">
        <f>+'10.COMISION'!BF15</f>
        <v>0</v>
      </c>
      <c r="AL39" s="189">
        <f>+'10.COMISION'!BG15</f>
        <v>0</v>
      </c>
      <c r="AM39" s="189">
        <f>+'10.COMISION'!BH15</f>
        <v>0</v>
      </c>
      <c r="AN39" s="189">
        <f>+'10.COMISION'!BI15</f>
        <v>0</v>
      </c>
      <c r="AO39" s="189">
        <f>+'10.COMISION'!BJ15</f>
        <v>0</v>
      </c>
      <c r="AP39" s="189">
        <f>+'10.COMISION'!BK15</f>
        <v>0</v>
      </c>
      <c r="AQ39" s="189">
        <f>+'10.COMISION'!BL15</f>
        <v>0</v>
      </c>
      <c r="AR39" s="189">
        <f>+'10.COMISION'!BM15</f>
        <v>0</v>
      </c>
      <c r="AS39" s="189">
        <f>+'10.COMISION'!BN15</f>
        <v>0</v>
      </c>
      <c r="AT39" s="189">
        <f>+'10.COMISION'!BO15</f>
        <v>0</v>
      </c>
      <c r="ALC39" s="54"/>
    </row>
    <row r="40" spans="1:991" x14ac:dyDescent="0.2">
      <c r="A40"/>
      <c r="B40"/>
      <c r="C40"/>
    </row>
    <row r="41" spans="1:991" ht="12.75" customHeight="1" x14ac:dyDescent="0.2">
      <c r="A41" s="247" t="s">
        <v>388</v>
      </c>
      <c r="B41" s="247"/>
      <c r="C41" s="245" t="s">
        <v>427</v>
      </c>
    </row>
    <row r="42" spans="1:991" ht="121.5" x14ac:dyDescent="0.2">
      <c r="A42" s="247"/>
      <c r="B42" s="247"/>
      <c r="C42" s="245" t="s">
        <v>423</v>
      </c>
      <c r="D42" s="68" t="str">
        <f>+'9.JUBILADOS'!Z5</f>
        <v>JUBILACIÓN EMPLEADOS – OBREROS</v>
      </c>
      <c r="E42" s="68" t="str">
        <f>+'9.JUBILADOS'!AA5</f>
        <v>JUBILACIÓN ALTO NIVEL</v>
      </c>
      <c r="F42" s="69" t="str">
        <f>+'9.JUBILADOS'!AB5</f>
        <v>PRIMA DISCAPACIDAD  JUBILADOS</v>
      </c>
      <c r="G42" s="69" t="str">
        <f>+'9.JUBILADOS'!AC5</f>
        <v>PRIMAR FAMILIAR 300 U.T MENSUAL</v>
      </c>
      <c r="H42" s="69" t="str">
        <f>+'9.JUBILADOS'!AD5</f>
        <v>PRIMA DE APOYO A LA ACTIVIDAD DOCENTE Y DE INVESTIGACIÓN</v>
      </c>
      <c r="I42" s="69" t="str">
        <f>+'9.JUBILADOS'!AE5</f>
        <v>PRIMA DE PROFESIONALIZACIÓN</v>
      </c>
      <c r="J42" s="69" t="str">
        <f>+'9.JUBILADOS'!AF5</f>
        <v>PRIMA POR ANTIGÛEDAD</v>
      </c>
      <c r="K42" s="69" t="str">
        <f>+'9.JUBILADOS'!AG5</f>
        <v>PRIMA PARA CHOFERES Y SUPERVISORES</v>
      </c>
      <c r="L42" s="69" t="str">
        <f>+'9.JUBILADOS'!AH5</f>
        <v>PRIMA POR CARGO</v>
      </c>
      <c r="M42" s="69" t="str">
        <f>+'9.JUBILADOS'!AI5</f>
        <v>PRIMA POR ESPECIALIZACIÓN PARA DOCENTE</v>
      </c>
      <c r="N42" s="69" t="str">
        <f>+'9.JUBILADOS'!AJ5</f>
        <v>PRIMA POR MAESTRÍA PARA DOCENTE</v>
      </c>
      <c r="O42" s="69" t="str">
        <f>+'9.JUBILADOS'!AK5</f>
        <v>PRIMA POR DOCTORADO PARA DOCENTE</v>
      </c>
      <c r="P42" s="59">
        <f>+'9.JUBILADOS'!AL5</f>
        <v>0</v>
      </c>
      <c r="Q42" s="70" t="str">
        <f>+'9.JUBILADOS'!AM5</f>
        <v>BONO ASISTENCIAL JUBILADOS</v>
      </c>
      <c r="R42" s="70" t="str">
        <f>+'9.JUBILADOS'!AN5</f>
        <v>DIFERENCIA A PAGAR POR BONO ALIMENTACION JUBILADOS</v>
      </c>
      <c r="S42" s="69" t="str">
        <f>+'9.JUBILADOS'!AO5</f>
        <v>BONO RECREACIONAL</v>
      </c>
      <c r="T42" s="69" t="str">
        <f>+'9.JUBILADOS'!AP5</f>
        <v>BONIFICACIÓN DE FIN DE AÑO JUBILADOS</v>
      </c>
      <c r="U42" s="70" t="str">
        <f>+'9.JUBILADOS'!AQ5</f>
        <v>APORTE CAJA DE AHORROS JUBILADOS</v>
      </c>
      <c r="V42" s="70" t="str">
        <f>+'9.JUBILADOS'!AR5</f>
        <v>APORTE CAJA DE AHORRO JUBILADO ALTO NIVEL</v>
      </c>
      <c r="W42" s="70" t="str">
        <f>+'9.JUBILADOS'!AS5</f>
        <v>APORTE PATRONAL A LOS SERVICIOS DE SALUD, ACCIDENTES PERSONALES Y GASTOS FUNERARIOS POR PERSONAL DE JUBILADOS</v>
      </c>
      <c r="X42" s="71" t="str">
        <f>+'9.JUBILADOS'!AT5</f>
        <v>BECA PARA ESTUDIOS DE LAS HIJAS E HIJOS DE LAS TRABAJADORAS Y TRABAJADORES UNIVERSITARIOS</v>
      </c>
      <c r="Y42" s="71" t="str">
        <f>+'9.JUBILADOS'!AU5</f>
        <v>CONTRIBUCIÓN PARA JUGUETES NAVIDEÑOS DE LAS HIJAS E HIJOS DE LAS TRABAJADORAS Y TRABAJADORES</v>
      </c>
      <c r="Z42" s="71" t="str">
        <f>+'9.JUBILADOS'!AV5</f>
        <v>APORTE POR MATRIMONIO</v>
      </c>
      <c r="AA42" s="71" t="str">
        <f>+'9.JUBILADOS'!AW5</f>
        <v>CONTRIBUCIÓN PARA LA ADQUISICIÓN DE ÚTILES ESCOLARES</v>
      </c>
      <c r="AB42" s="71" t="str">
        <f>+'9.JUBILADOS'!AX5</f>
        <v>APORTE POR NACIMIENTO DE HIJAS E HIJOS</v>
      </c>
      <c r="AC42" s="71" t="str">
        <f>+'9.JUBILADOS'!AY5</f>
        <v>GUARDERÍA PARA HIJOS LOS TRABAJADORES</v>
      </c>
      <c r="AD42" s="72" t="str">
        <f>+'9.JUBILADOS'!AZ5</f>
        <v>COMISIONES Y GASTOS BANCARIOS</v>
      </c>
      <c r="AE42" s="72" t="str">
        <f>+'9.JUBILADOS'!BA5</f>
        <v>COMISIONES Y GASTOS DE ADQUISICION DE SEGUROS</v>
      </c>
      <c r="AF42" s="72" t="str">
        <f>+'9.JUBILADOS'!BB5</f>
        <v>SERVICIOS DE CAPACITACION Y ADIESTRAMIENTO</v>
      </c>
      <c r="AG42" s="72" t="str">
        <f>+'9.JUBILADOS'!BC5</f>
        <v>SERVICIOS DE DIVERSIÓN, ESPARCIMIENTO Y CULTURALES (ALMUERZO NAVIDEÑO)</v>
      </c>
      <c r="AH42" s="72" t="str">
        <f>+'9.JUBILADOS'!BD5</f>
        <v>IMPUESTO AL VALOR AGREGADO
(IVA)</v>
      </c>
      <c r="AI42" s="72" t="str">
        <f>+'9.JUBILADOS'!BE5</f>
        <v>COMISIONES POR SERVICIOS PARA CUMPLIR CON LOS BENEFICIOS SOCIALES</v>
      </c>
      <c r="AJ42" s="72" t="str">
        <f>+'9.JUBILADOS'!BF5</f>
        <v>OTROS SERVICIOS NO PERSONALES</v>
      </c>
      <c r="AK42" s="72" t="str">
        <f>+'9.JUBILADOS'!BG5</f>
        <v>APORTE A LA PREVISIÓN SOCIAL</v>
      </c>
      <c r="AL42" s="72" t="str">
        <f>+'9.JUBILADOS'!BH5</f>
        <v>FINANCIAMIENTO DE ACITIVADES SINDICALES</v>
      </c>
      <c r="AM42" s="73" t="str">
        <f>+'9.JUBILADOS'!BI5</f>
        <v>MONTO MENSUAL POR CARGOS SEGUN FRECUENCIA</v>
      </c>
      <c r="AQ42" s="55"/>
      <c r="ALC42" s="54"/>
    </row>
    <row r="43" spans="1:991" x14ac:dyDescent="0.2">
      <c r="A43" s="247"/>
      <c r="B43" s="247"/>
      <c r="C43" s="245"/>
      <c r="D43" s="78">
        <f>+'9.JUBILADOS'!Z6</f>
        <v>0</v>
      </c>
      <c r="E43" s="78">
        <f>+'9.JUBILADOS'!AA6</f>
        <v>0</v>
      </c>
      <c r="F43" s="78">
        <f>+'9.JUBILADOS'!AB6</f>
        <v>0</v>
      </c>
      <c r="G43" s="78">
        <f>+'9.JUBILADOS'!AC6</f>
        <v>0</v>
      </c>
      <c r="H43" s="78">
        <f>+'9.JUBILADOS'!AD6</f>
        <v>0</v>
      </c>
      <c r="I43" s="78">
        <f>+'9.JUBILADOS'!AE6</f>
        <v>0</v>
      </c>
      <c r="J43" s="78">
        <f>+'9.JUBILADOS'!AF6</f>
        <v>0</v>
      </c>
      <c r="K43" s="78">
        <f>+'9.JUBILADOS'!AG6</f>
        <v>0</v>
      </c>
      <c r="L43" s="78">
        <f>+'9.JUBILADOS'!AH6</f>
        <v>0</v>
      </c>
      <c r="M43" s="78">
        <f>+'9.JUBILADOS'!AI6</f>
        <v>0</v>
      </c>
      <c r="N43" s="78">
        <f>+'9.JUBILADOS'!AJ6</f>
        <v>0</v>
      </c>
      <c r="O43" s="78">
        <f>+'9.JUBILADOS'!AK6</f>
        <v>0</v>
      </c>
      <c r="P43" s="78">
        <f>+'9.JUBILADOS'!AL6</f>
        <v>0</v>
      </c>
      <c r="Q43" s="78" t="str">
        <f>+'9.JUBILADOS'!AM6</f>
        <v>4.01.04.51.00</v>
      </c>
      <c r="R43" s="78">
        <f>+'9.JUBILADOS'!AN6</f>
        <v>0</v>
      </c>
      <c r="S43" s="78" t="str">
        <f>+'9.JUBILADOS'!AO6</f>
        <v>4.01.05.18.00</v>
      </c>
      <c r="T43" s="78" t="str">
        <f>+'9.JUBILADOS'!AP6</f>
        <v>4.01.05.16.00</v>
      </c>
      <c r="U43" s="78" t="str">
        <f>+'9.JUBILADOS'!AQ6</f>
        <v>4.01.07.68.00</v>
      </c>
      <c r="V43" s="78" t="str">
        <f>+'9.JUBILADOS'!AR6</f>
        <v>4.01.08.07.00</v>
      </c>
      <c r="W43" s="78" t="str">
        <f>+'9.JUBILADOS'!AS6</f>
        <v>4.01.07.69.00</v>
      </c>
      <c r="X43" s="78">
        <f>+'9.JUBILADOS'!AT6</f>
        <v>0</v>
      </c>
      <c r="Y43" s="78">
        <f>+'9.JUBILADOS'!AU6</f>
        <v>0</v>
      </c>
      <c r="Z43" s="78">
        <f>+'9.JUBILADOS'!AV6</f>
        <v>0</v>
      </c>
      <c r="AA43" s="78">
        <f>+'9.JUBILADOS'!AW6</f>
        <v>0</v>
      </c>
      <c r="AB43" s="78">
        <f>+'9.JUBILADOS'!AX6</f>
        <v>0</v>
      </c>
      <c r="AC43" s="78">
        <f>+'9.JUBILADOS'!AY6</f>
        <v>0</v>
      </c>
      <c r="AD43" s="78" t="str">
        <f>+'9.JUBILADOS'!AZ6</f>
        <v>4.03.08.02.00</v>
      </c>
      <c r="AE43" s="78" t="str">
        <f>+'9.JUBILADOS'!BA6</f>
        <v>4.03.08.03.00</v>
      </c>
      <c r="AF43" s="78" t="str">
        <f>+'9.JUBILADOS'!BB6</f>
        <v>4.03.10.07.00</v>
      </c>
      <c r="AG43" s="78" t="str">
        <f>+'9.JUBILADOS'!BC6</f>
        <v>4.03.16.01.00</v>
      </c>
      <c r="AH43" s="78" t="str">
        <f>+'9.JUBILADOS'!BD6</f>
        <v>4.03.18.01.00</v>
      </c>
      <c r="AI43" s="78" t="str">
        <f>+'9.JUBILADOS'!BE6</f>
        <v>4.03.19.01.00</v>
      </c>
      <c r="AJ43" s="78" t="str">
        <f>+'9.JUBILADOS'!BF6</f>
        <v>4.03.99.01.00</v>
      </c>
      <c r="AK43" s="78" t="str">
        <f>+'9.JUBILADOS'!BG6</f>
        <v>4.07.01.01.75</v>
      </c>
      <c r="AL43" s="78" t="str">
        <f>+'9.JUBILADOS'!BH6</f>
        <v>4.07.01.01.75</v>
      </c>
      <c r="AM43" s="78">
        <f>+'9.JUBILADOS'!BI6</f>
        <v>0</v>
      </c>
      <c r="AQ43" s="55"/>
      <c r="ALC43" s="54"/>
    </row>
    <row r="44" spans="1:991" ht="16.5" x14ac:dyDescent="0.25">
      <c r="A44" s="247"/>
      <c r="B44" s="247"/>
      <c r="C44" s="184">
        <f>+'9.JUBILADOS'!D16</f>
        <v>0</v>
      </c>
      <c r="D44" s="189">
        <f>+'9.JUBILADOS'!Z15</f>
        <v>0</v>
      </c>
      <c r="E44" s="189">
        <f>+'9.JUBILADOS'!AA15</f>
        <v>0</v>
      </c>
      <c r="F44" s="189">
        <f>+'9.JUBILADOS'!AB15</f>
        <v>0</v>
      </c>
      <c r="G44" s="189">
        <f>+'9.JUBILADOS'!AC15</f>
        <v>0</v>
      </c>
      <c r="H44" s="189">
        <f>+'9.JUBILADOS'!AD15</f>
        <v>0</v>
      </c>
      <c r="I44" s="189">
        <f>+'9.JUBILADOS'!AE15</f>
        <v>0</v>
      </c>
      <c r="J44" s="189">
        <f>+'9.JUBILADOS'!AF15</f>
        <v>0</v>
      </c>
      <c r="K44" s="189">
        <f>+'9.JUBILADOS'!AG15</f>
        <v>0</v>
      </c>
      <c r="L44" s="189">
        <f>+'9.JUBILADOS'!AH15</f>
        <v>0</v>
      </c>
      <c r="M44" s="189">
        <f>+'9.JUBILADOS'!AI15</f>
        <v>0</v>
      </c>
      <c r="N44" s="189">
        <f>+'9.JUBILADOS'!AJ15</f>
        <v>0</v>
      </c>
      <c r="O44" s="189">
        <f>+'9.JUBILADOS'!AK15</f>
        <v>0</v>
      </c>
      <c r="P44" s="189">
        <f>+'9.JUBILADOS'!AL15</f>
        <v>0</v>
      </c>
      <c r="Q44" s="189">
        <f>+'9.JUBILADOS'!AM15</f>
        <v>0</v>
      </c>
      <c r="R44" s="189">
        <f>+'9.JUBILADOS'!AN15</f>
        <v>0</v>
      </c>
      <c r="S44" s="189">
        <f>+'9.JUBILADOS'!AO15</f>
        <v>0</v>
      </c>
      <c r="T44" s="189">
        <f>+'9.JUBILADOS'!AP15</f>
        <v>0</v>
      </c>
      <c r="U44" s="189">
        <f>+'9.JUBILADOS'!AQ15</f>
        <v>0</v>
      </c>
      <c r="V44" s="189">
        <f>+'9.JUBILADOS'!AR15</f>
        <v>0</v>
      </c>
      <c r="W44" s="189">
        <f>+'9.JUBILADOS'!AS15</f>
        <v>0</v>
      </c>
      <c r="X44" s="189">
        <f>+'9.JUBILADOS'!AT15</f>
        <v>0</v>
      </c>
      <c r="Y44" s="189">
        <f>+'9.JUBILADOS'!AU15</f>
        <v>0</v>
      </c>
      <c r="Z44" s="189">
        <f>+'9.JUBILADOS'!AV15</f>
        <v>0</v>
      </c>
      <c r="AA44" s="189">
        <f>+'9.JUBILADOS'!AW15</f>
        <v>0</v>
      </c>
      <c r="AB44" s="189">
        <f>+'9.JUBILADOS'!AX15</f>
        <v>0</v>
      </c>
      <c r="AC44" s="189">
        <f>+'9.JUBILADOS'!AY15</f>
        <v>0</v>
      </c>
      <c r="AD44" s="189">
        <f>+'9.JUBILADOS'!AZ15</f>
        <v>0</v>
      </c>
      <c r="AE44" s="189">
        <f>+'9.JUBILADOS'!BA15</f>
        <v>0</v>
      </c>
      <c r="AF44" s="189">
        <f>+'9.JUBILADOS'!BB15</f>
        <v>0</v>
      </c>
      <c r="AG44" s="189">
        <f>+'9.JUBILADOS'!BC15</f>
        <v>0</v>
      </c>
      <c r="AH44" s="189">
        <f>+'9.JUBILADOS'!BD15</f>
        <v>0</v>
      </c>
      <c r="AI44" s="189">
        <f>+'9.JUBILADOS'!BE15</f>
        <v>0</v>
      </c>
      <c r="AJ44" s="189">
        <f>+'9.JUBILADOS'!BF15</f>
        <v>0</v>
      </c>
      <c r="AK44" s="189">
        <f>+'9.JUBILADOS'!BG15</f>
        <v>0</v>
      </c>
      <c r="AL44" s="189">
        <f>+'9.JUBILADOS'!BH15</f>
        <v>0</v>
      </c>
      <c r="AM44" s="189">
        <f>+'9.JUBILADOS'!BI15</f>
        <v>0</v>
      </c>
      <c r="AQ44" s="55"/>
      <c r="ALC44" s="54"/>
    </row>
    <row r="45" spans="1:991" x14ac:dyDescent="0.2">
      <c r="A45"/>
      <c r="B45"/>
      <c r="C45"/>
    </row>
    <row r="46" spans="1:991" x14ac:dyDescent="0.2">
      <c r="A46"/>
      <c r="B46"/>
      <c r="C46"/>
    </row>
    <row r="47" spans="1:991" ht="12.75" customHeight="1" x14ac:dyDescent="0.2">
      <c r="A47" s="247" t="s">
        <v>372</v>
      </c>
      <c r="B47" s="247"/>
      <c r="C47" s="245" t="s">
        <v>427</v>
      </c>
    </row>
    <row r="48" spans="1:991" ht="121.5" x14ac:dyDescent="0.2">
      <c r="A48" s="247"/>
      <c r="B48" s="247"/>
      <c r="C48" s="245" t="s">
        <v>423</v>
      </c>
      <c r="D48" s="68" t="str">
        <f>+'8.PENSIONADOS'!Z5</f>
        <v>PENSIONES EMPLEADOS</v>
      </c>
      <c r="E48" s="68" t="str">
        <f>+'8.PENSIONADOS'!AA5</f>
        <v>PENSIÓN ALTO NIVEL</v>
      </c>
      <c r="F48" s="69" t="str">
        <f>+'8.PENSIONADOS'!AB5</f>
        <v>PRIMA DISCAPACIDAD  PENSIONADOS</v>
      </c>
      <c r="G48" s="69" t="str">
        <f>+'8.PENSIONADOS'!AC5</f>
        <v>PRIMAR FAMILIAR 300 U.T MENSUAL</v>
      </c>
      <c r="H48" s="69" t="str">
        <f>+'8.PENSIONADOS'!AD5</f>
        <v>PRIMA DE APOYO A LA ACTIVIDAD DOCENTE Y DE INVESTIGACIÓN</v>
      </c>
      <c r="I48" s="69" t="str">
        <f>+'8.PENSIONADOS'!AE5</f>
        <v>PRIMA DE PROFESIONALIZACIÓN</v>
      </c>
      <c r="J48" s="69" t="str">
        <f>+'8.PENSIONADOS'!AF5</f>
        <v>PRIMA POR ANTIGÛEDAD</v>
      </c>
      <c r="K48" s="69" t="str">
        <f>+'8.PENSIONADOS'!AG5</f>
        <v>PRIMA PARA CHOFERES Y SUPERVISORES</v>
      </c>
      <c r="L48" s="69" t="str">
        <f>+'8.PENSIONADOS'!AH5</f>
        <v>PRIMA POR ESPECIALIZACIÓN PARA DOCENTE</v>
      </c>
      <c r="M48" s="69" t="str">
        <f>+'8.PENSIONADOS'!AI5</f>
        <v>PRIMA POR MAESTRÍA PARA DOCENTE</v>
      </c>
      <c r="N48" s="69" t="str">
        <f>+'8.PENSIONADOS'!AJ5</f>
        <v>PRIMA POR DOCTORADO PARA DOCENTE</v>
      </c>
      <c r="O48" s="59">
        <f>+'8.PENSIONADOS'!AK5</f>
        <v>0</v>
      </c>
      <c r="P48" s="70" t="str">
        <f>+'8.PENSIONADOS'!AL5</f>
        <v>BONO ASISTENCIAL JUBILADOS</v>
      </c>
      <c r="Q48" s="70" t="str">
        <f>+'8.PENSIONADOS'!AM5</f>
        <v>DIFERENCIA A PAGAR POR BONO ALIMENTACION PENSIONADOS</v>
      </c>
      <c r="R48" s="69" t="str">
        <f>+'8.PENSIONADOS'!AN5</f>
        <v>BONO RECREACIONAL</v>
      </c>
      <c r="S48" s="69" t="str">
        <f>+'8.PENSIONADOS'!AO5</f>
        <v>BONIFICACIÓN DE FIN DE AÑO PENSIONADOS</v>
      </c>
      <c r="T48" s="70" t="str">
        <f>+'8.PENSIONADOS'!AP5</f>
        <v>APORTE CAJA DE AHORROS PENSIONADOS</v>
      </c>
      <c r="U48" s="70" t="str">
        <f>+'8.PENSIONADOS'!AQ5</f>
        <v>APORTE CAJA DE AHORRO PENSIONADO ALTO NIVEL</v>
      </c>
      <c r="V48" s="70" t="str">
        <f>+'8.PENSIONADOS'!AR5</f>
        <v>APORTE PATRONAL A LOS SERVICIOS DE SALUD, ACCIDENTES PERSONALES Y GASTOS FUNERARIOS POR PERSONAL DE PENSIONADOS</v>
      </c>
      <c r="W48" s="71" t="str">
        <f>+'8.PENSIONADOS'!AS5</f>
        <v>BECA PARA ESTUDIOS DE LAS HIJAS E HIJOS DE LAS TRABAJADORAS Y TRABAJADORES UNIVERSITARIOS</v>
      </c>
      <c r="X48" s="71" t="str">
        <f>+'8.PENSIONADOS'!AT5</f>
        <v>CONTRIBUCIÓN PARA JUGUETES NAVIDEÑOS DE LAS HIJAS E HIJOS DE LAS TRABAJADORAS Y TRABAJADORES</v>
      </c>
      <c r="Y48" s="71" t="str">
        <f>+'8.PENSIONADOS'!AU5</f>
        <v>APORTE POR MATRIMONIO</v>
      </c>
      <c r="Z48" s="71" t="str">
        <f>+'8.PENSIONADOS'!AV5</f>
        <v>CONTRIBUCIÓN PARA LA ADQUISICIÓN DE ÚTILES ESCOLARES</v>
      </c>
      <c r="AA48" s="71" t="str">
        <f>+'8.PENSIONADOS'!AW5</f>
        <v>APORTE POR NACIMIENTO DE HIJAS E HIJOS</v>
      </c>
      <c r="AB48" s="71" t="str">
        <f>+'8.PENSIONADOS'!AX5</f>
        <v>GUARDERÍA PARA HIJOS LOS TRABAJADORES</v>
      </c>
      <c r="AC48" s="72" t="str">
        <f>+'8.PENSIONADOS'!AY5</f>
        <v>COMISIONES Y GASTOS BANCARIOS</v>
      </c>
      <c r="AD48" s="72" t="str">
        <f>+'8.PENSIONADOS'!AZ5</f>
        <v>COMISIONES Y GASTOS DE ADQUISICION DE SEGUROS</v>
      </c>
      <c r="AE48" s="72" t="str">
        <f>+'8.PENSIONADOS'!BA5</f>
        <v>SERVICIOS DE CAPACITACION Y ADIESTRAMIENTO</v>
      </c>
      <c r="AF48" s="72" t="str">
        <f>+'8.PENSIONADOS'!BB5</f>
        <v>SERVICIOS DE DIVERSIÓN, ESPARCIMIENTO Y CULTURALES (ALMUERZO NAVIDEÑO)</v>
      </c>
      <c r="AG48" s="72" t="str">
        <f>+'8.PENSIONADOS'!BC5</f>
        <v>IMPUESTO AL VALOR AGREGADO
(IVA)</v>
      </c>
      <c r="AH48" s="72" t="str">
        <f>+'8.PENSIONADOS'!BD5</f>
        <v>COMISIONES POR SERVICIOS PARA CUMPLIR CON LOS BENEFICIOS SOCIALES</v>
      </c>
      <c r="AI48" s="72" t="str">
        <f>+'8.PENSIONADOS'!BE5</f>
        <v>OTROS SERVICIOS NO PERSONALES</v>
      </c>
      <c r="AJ48" s="72" t="str">
        <f>+'8.PENSIONADOS'!BF5</f>
        <v>APORTE A LA PREVISIÓN SOCIAL</v>
      </c>
      <c r="AK48" s="72" t="str">
        <f>+'8.PENSIONADOS'!BG5</f>
        <v>FINANCIAMIENTO DE ACITIVADES SINDICALES</v>
      </c>
      <c r="AL48" s="73" t="str">
        <f>+'8.PENSIONADOS'!BH5</f>
        <v>MONTO MENSUAL POR CARGOS SEGUN FRECUENCIA</v>
      </c>
    </row>
    <row r="49" spans="1:38" x14ac:dyDescent="0.2">
      <c r="A49" s="247"/>
      <c r="B49" s="247"/>
      <c r="C49" s="245"/>
      <c r="D49" s="78">
        <f>+'8.PENSIONADOS'!Z6</f>
        <v>0</v>
      </c>
      <c r="E49" s="78">
        <f>+'8.PENSIONADOS'!AA6</f>
        <v>0</v>
      </c>
      <c r="F49" s="78">
        <f>+'8.PENSIONADOS'!AB6</f>
        <v>0</v>
      </c>
      <c r="G49" s="78">
        <f>+'8.PENSIONADOS'!AC6</f>
        <v>0</v>
      </c>
      <c r="H49" s="78">
        <f>+'8.PENSIONADOS'!AD6</f>
        <v>0</v>
      </c>
      <c r="I49" s="78">
        <f>+'8.PENSIONADOS'!AE6</f>
        <v>0</v>
      </c>
      <c r="J49" s="78">
        <f>+'8.PENSIONADOS'!AF6</f>
        <v>0</v>
      </c>
      <c r="K49" s="78">
        <f>+'8.PENSIONADOS'!AG6</f>
        <v>0</v>
      </c>
      <c r="L49" s="78">
        <f>+'8.PENSIONADOS'!AH6</f>
        <v>0</v>
      </c>
      <c r="M49" s="78">
        <f>+'8.PENSIONADOS'!AI6</f>
        <v>0</v>
      </c>
      <c r="N49" s="78">
        <f>+'8.PENSIONADOS'!AJ6</f>
        <v>0</v>
      </c>
      <c r="O49" s="78">
        <f>+'8.PENSIONADOS'!AK6</f>
        <v>0</v>
      </c>
      <c r="P49" s="78" t="str">
        <f>+'8.PENSIONADOS'!AL6</f>
        <v>4.01.04.51.00</v>
      </c>
      <c r="Q49" s="78">
        <f>+'8.PENSIONADOS'!AM6</f>
        <v>0</v>
      </c>
      <c r="R49" s="78" t="str">
        <f>+'8.PENSIONADOS'!AN6</f>
        <v>4.01.05.18.00</v>
      </c>
      <c r="S49" s="78" t="str">
        <f>+'8.PENSIONADOS'!AO6</f>
        <v>4.01.05.16.00</v>
      </c>
      <c r="T49" s="78" t="str">
        <f>+'8.PENSIONADOS'!AP6</f>
        <v>4.01.07.68.00</v>
      </c>
      <c r="U49" s="78" t="str">
        <f>+'8.PENSIONADOS'!AQ6</f>
        <v>4.01.08.07.00</v>
      </c>
      <c r="V49" s="78" t="str">
        <f>+'8.PENSIONADOS'!AR6</f>
        <v>4.01.07.69.00</v>
      </c>
      <c r="W49" s="78">
        <f>+'8.PENSIONADOS'!AS6</f>
        <v>0</v>
      </c>
      <c r="X49" s="78">
        <f>+'8.PENSIONADOS'!AT6</f>
        <v>0</v>
      </c>
      <c r="Y49" s="78">
        <f>+'8.PENSIONADOS'!AU6</f>
        <v>0</v>
      </c>
      <c r="Z49" s="78">
        <f>+'8.PENSIONADOS'!AV6</f>
        <v>0</v>
      </c>
      <c r="AA49" s="78">
        <f>+'8.PENSIONADOS'!AW6</f>
        <v>0</v>
      </c>
      <c r="AB49" s="78">
        <f>+'8.PENSIONADOS'!AX6</f>
        <v>0</v>
      </c>
      <c r="AC49" s="78" t="str">
        <f>+'8.PENSIONADOS'!AY6</f>
        <v>4.03.08.02.00</v>
      </c>
      <c r="AD49" s="78" t="str">
        <f>+'8.PENSIONADOS'!AZ6</f>
        <v>4.03.08.03.00</v>
      </c>
      <c r="AE49" s="78" t="str">
        <f>+'8.PENSIONADOS'!BA6</f>
        <v>4.03.10.07.00</v>
      </c>
      <c r="AF49" s="78" t="str">
        <f>+'8.PENSIONADOS'!BB6</f>
        <v>4.03.16.01.00</v>
      </c>
      <c r="AG49" s="78" t="str">
        <f>+'8.PENSIONADOS'!BC6</f>
        <v>4.03.18.01.00</v>
      </c>
      <c r="AH49" s="78" t="str">
        <f>+'8.PENSIONADOS'!BD6</f>
        <v>4.03.19.01.00</v>
      </c>
      <c r="AI49" s="78" t="str">
        <f>+'8.PENSIONADOS'!BE6</f>
        <v>4.03.99.01.00</v>
      </c>
      <c r="AJ49" s="78" t="str">
        <f>+'8.PENSIONADOS'!BF6</f>
        <v>4.07.01.01.75</v>
      </c>
      <c r="AK49" s="78" t="str">
        <f>+'8.PENSIONADOS'!BG6</f>
        <v>4.07.01.01.75</v>
      </c>
      <c r="AL49" s="78">
        <f>+'8.PENSIONADOS'!BH6</f>
        <v>0</v>
      </c>
    </row>
    <row r="50" spans="1:38" ht="16.5" x14ac:dyDescent="0.25">
      <c r="A50" s="247"/>
      <c r="B50" s="247"/>
      <c r="C50" s="184">
        <f>+'8.PENSIONADOS'!D16</f>
        <v>0</v>
      </c>
      <c r="D50" s="189">
        <f>+'8.PENSIONADOS'!Z15</f>
        <v>0</v>
      </c>
      <c r="E50" s="189">
        <f>+'8.PENSIONADOS'!AA15</f>
        <v>0</v>
      </c>
      <c r="F50" s="189">
        <f>+'8.PENSIONADOS'!AB15</f>
        <v>0</v>
      </c>
      <c r="G50" s="189">
        <f>+'8.PENSIONADOS'!AC15</f>
        <v>0</v>
      </c>
      <c r="H50" s="189">
        <f>+'8.PENSIONADOS'!AD15</f>
        <v>0</v>
      </c>
      <c r="I50" s="189">
        <f>+'8.PENSIONADOS'!AE15</f>
        <v>0</v>
      </c>
      <c r="J50" s="189">
        <f>+'8.PENSIONADOS'!AF15</f>
        <v>0</v>
      </c>
      <c r="K50" s="189">
        <f>+'8.PENSIONADOS'!AG15</f>
        <v>0</v>
      </c>
      <c r="L50" s="189">
        <f>+'8.PENSIONADOS'!AH15</f>
        <v>0</v>
      </c>
      <c r="M50" s="189">
        <f>+'8.PENSIONADOS'!AI15</f>
        <v>0</v>
      </c>
      <c r="N50" s="189">
        <f>+'8.PENSIONADOS'!AJ15</f>
        <v>0</v>
      </c>
      <c r="O50" s="189">
        <f>+'8.PENSIONADOS'!AK15</f>
        <v>0</v>
      </c>
      <c r="P50" s="189">
        <f>+'8.PENSIONADOS'!AL15</f>
        <v>0</v>
      </c>
      <c r="Q50" s="189">
        <f>+'8.PENSIONADOS'!AM15</f>
        <v>0</v>
      </c>
      <c r="R50" s="189">
        <f>+'8.PENSIONADOS'!AN15</f>
        <v>0</v>
      </c>
      <c r="S50" s="189">
        <f>+'8.PENSIONADOS'!AO15</f>
        <v>0</v>
      </c>
      <c r="T50" s="189">
        <f>+'8.PENSIONADOS'!AP15</f>
        <v>0</v>
      </c>
      <c r="U50" s="189">
        <f>+'8.PENSIONADOS'!AQ15</f>
        <v>0</v>
      </c>
      <c r="V50" s="189">
        <f>+'8.PENSIONADOS'!AR15</f>
        <v>0</v>
      </c>
      <c r="W50" s="189">
        <f>+'8.PENSIONADOS'!AS15</f>
        <v>0</v>
      </c>
      <c r="X50" s="189">
        <f>+'8.PENSIONADOS'!AT15</f>
        <v>0</v>
      </c>
      <c r="Y50" s="189">
        <f>+'8.PENSIONADOS'!AU15</f>
        <v>0</v>
      </c>
      <c r="Z50" s="189">
        <f>+'8.PENSIONADOS'!AV15</f>
        <v>0</v>
      </c>
      <c r="AA50" s="189">
        <f>+'8.PENSIONADOS'!AW15</f>
        <v>0</v>
      </c>
      <c r="AB50" s="189">
        <f>+'8.PENSIONADOS'!AX15</f>
        <v>0</v>
      </c>
      <c r="AC50" s="189">
        <f>+'8.PENSIONADOS'!AY15</f>
        <v>0</v>
      </c>
      <c r="AD50" s="189">
        <f>+'8.PENSIONADOS'!AZ15</f>
        <v>0</v>
      </c>
      <c r="AE50" s="189">
        <f>+'8.PENSIONADOS'!BA15</f>
        <v>0</v>
      </c>
      <c r="AF50" s="189">
        <f>+'8.PENSIONADOS'!BB15</f>
        <v>0</v>
      </c>
      <c r="AG50" s="189">
        <f>+'8.PENSIONADOS'!BC15</f>
        <v>0</v>
      </c>
      <c r="AH50" s="189">
        <f>+'8.PENSIONADOS'!BD15</f>
        <v>0</v>
      </c>
      <c r="AI50" s="189">
        <f>+'8.PENSIONADOS'!BE15</f>
        <v>0</v>
      </c>
      <c r="AJ50" s="189">
        <f>+'8.PENSIONADOS'!BF15</f>
        <v>0</v>
      </c>
      <c r="AK50" s="189">
        <f>+'8.PENSIONADOS'!BG15</f>
        <v>0</v>
      </c>
      <c r="AL50" s="189">
        <f>+'8.PENSIONADOS'!BH15</f>
        <v>0</v>
      </c>
    </row>
    <row r="51" spans="1:38" x14ac:dyDescent="0.2">
      <c r="A51"/>
      <c r="B51"/>
      <c r="C51"/>
    </row>
    <row r="52" spans="1:38" x14ac:dyDescent="0.2">
      <c r="A52"/>
      <c r="B52"/>
      <c r="C52"/>
    </row>
    <row r="53" spans="1:38" x14ac:dyDescent="0.2">
      <c r="A53"/>
      <c r="B53"/>
      <c r="C53"/>
    </row>
    <row r="54" spans="1:38" x14ac:dyDescent="0.2">
      <c r="A54"/>
      <c r="B54"/>
      <c r="C54"/>
    </row>
    <row r="55" spans="1:38" ht="18" x14ac:dyDescent="0.2">
      <c r="A55" s="248" t="s">
        <v>428</v>
      </c>
      <c r="B55" s="248"/>
      <c r="C55" s="248"/>
      <c r="D55" s="190">
        <f>+AL50+AM44+AT39+F34+AZ29+AT24+AY18+AU12</f>
        <v>0</v>
      </c>
    </row>
    <row r="56" spans="1:38" ht="18" x14ac:dyDescent="0.2">
      <c r="A56" s="248" t="s">
        <v>429</v>
      </c>
      <c r="B56" s="248"/>
      <c r="C56" s="248"/>
      <c r="D56" s="190">
        <f>+'3.ALTONIVEL'!BP13+'4.EMPLEADOS'!BT15+'5.OBREROS'!BO15+'6.CONTRATADOS'!BU15+'7.HP'!I15+'8.PENSIONADOS'!BH15+'9.JUBILADOS'!BI15+'10.COMISION'!BO15</f>
        <v>0</v>
      </c>
    </row>
    <row r="57" spans="1:38" ht="18" x14ac:dyDescent="0.2">
      <c r="A57" s="249" t="s">
        <v>430</v>
      </c>
      <c r="B57" s="249"/>
      <c r="C57" s="249"/>
      <c r="D57" s="53">
        <f>+D56-D55</f>
        <v>0</v>
      </c>
    </row>
  </sheetData>
  <mergeCells count="22">
    <mergeCell ref="A47:B50"/>
    <mergeCell ref="C47:C49"/>
    <mergeCell ref="A55:C55"/>
    <mergeCell ref="A56:C56"/>
    <mergeCell ref="A57:C57"/>
    <mergeCell ref="A31:B34"/>
    <mergeCell ref="C31:C33"/>
    <mergeCell ref="A36:B39"/>
    <mergeCell ref="C36:C38"/>
    <mergeCell ref="A41:B44"/>
    <mergeCell ref="C41:C43"/>
    <mergeCell ref="A15:B18"/>
    <mergeCell ref="C15:C17"/>
    <mergeCell ref="A21:B24"/>
    <mergeCell ref="C21:C23"/>
    <mergeCell ref="A26:B29"/>
    <mergeCell ref="C26:C28"/>
    <mergeCell ref="A1:E3"/>
    <mergeCell ref="F1:F3"/>
    <mergeCell ref="G1:G3"/>
    <mergeCell ref="A9:B12"/>
    <mergeCell ref="C9:C11"/>
  </mergeCells>
  <pageMargins left="0.31527777777777799" right="0.39374999999999999" top="0.74791666666666701" bottom="0.47222222222222199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3"/>
  <sheetViews>
    <sheetView zoomScale="60" zoomScaleNormal="60" workbookViewId="0"/>
  </sheetViews>
  <sheetFormatPr baseColWidth="10" defaultColWidth="9.140625" defaultRowHeight="12.75" x14ac:dyDescent="0.2"/>
  <cols>
    <col min="1" max="1" width="40.28515625" customWidth="1"/>
    <col min="2" max="2" width="84.42578125" customWidth="1"/>
    <col min="3" max="3" width="42" customWidth="1"/>
    <col min="4" max="1025" width="11.5703125"/>
  </cols>
  <sheetData>
    <row r="1" spans="1:3" ht="27.95" customHeight="1" x14ac:dyDescent="0.2"/>
    <row r="2" spans="1:3" ht="19.5" x14ac:dyDescent="0.2">
      <c r="A2" s="192" t="s">
        <v>431</v>
      </c>
      <c r="B2" s="193" t="str">
        <f>+'1.DATOS'!D2</f>
        <v>A0000</v>
      </c>
    </row>
    <row r="3" spans="1:3" ht="19.5" x14ac:dyDescent="0.2">
      <c r="A3" s="192" t="s">
        <v>432</v>
      </c>
      <c r="B3" s="193" t="str">
        <f>+'1.DATOS'!D3</f>
        <v>INSTITUCIÓN MODELO</v>
      </c>
    </row>
    <row r="4" spans="1:3" ht="19.5" x14ac:dyDescent="0.2">
      <c r="A4" s="192" t="s">
        <v>433</v>
      </c>
      <c r="B4" s="193" t="str">
        <f>+'1.DATOS'!D4</f>
        <v>SEPTIEMBRE</v>
      </c>
    </row>
    <row r="8" spans="1:3" ht="12.75" customHeight="1" x14ac:dyDescent="0.2">
      <c r="A8" s="250" t="s">
        <v>434</v>
      </c>
      <c r="B8" s="250"/>
      <c r="C8" s="250"/>
    </row>
    <row r="9" spans="1:3" x14ac:dyDescent="0.2">
      <c r="A9" s="250"/>
      <c r="B9" s="250"/>
      <c r="C9" s="250"/>
    </row>
    <row r="10" spans="1:3" ht="18" x14ac:dyDescent="0.2">
      <c r="A10" s="192" t="s">
        <v>435</v>
      </c>
      <c r="B10" s="192" t="s">
        <v>436</v>
      </c>
      <c r="C10" s="192" t="str">
        <f>"TOTAL  REQUERIMIENTO"&amp;" "&amp;B8</f>
        <v xml:space="preserve">TOTAL  REQUERIMIENTO </v>
      </c>
    </row>
    <row r="11" spans="1:3" ht="18" x14ac:dyDescent="0.25">
      <c r="A11" s="194" t="s">
        <v>437</v>
      </c>
      <c r="B11" s="195" t="s">
        <v>438</v>
      </c>
      <c r="C11" s="196" t="e">
        <f>+C12+C36+C44+C82+C125+C142+C178+C246+C253+C255+C257+C259+C261+C263</f>
        <v>#VALUE!</v>
      </c>
    </row>
    <row r="12" spans="1:3" ht="18" x14ac:dyDescent="0.25">
      <c r="A12" s="197" t="s">
        <v>439</v>
      </c>
      <c r="B12" s="198" t="s">
        <v>440</v>
      </c>
      <c r="C12" s="199" t="e">
        <f>SUM(C13:C22)+SUM(C25:C35)</f>
        <v>#VALUE!</v>
      </c>
    </row>
    <row r="13" spans="1:3" ht="18" x14ac:dyDescent="0.25">
      <c r="A13" s="200" t="s">
        <v>441</v>
      </c>
      <c r="B13" s="201" t="s">
        <v>442</v>
      </c>
      <c r="C13" s="202" t="e">
        <f>+ROUND(SUMIFS('11.RESUMEN'!$D$12:$CE$12,'11.RESUMEN'!$D$11:$CE$11,A13)+SUMIFS('11.RESUMEN'!$D$18:$CI$18,'11.RESUMEN'!$D$17:$CI$17,A13)+SUMIFS('11.RESUMEN'!$D$25:$CD$25,'11.RESUMEN'!$D$24:$CH$24,A13)+SUMIFS('11.RESUMEN'!$D$29:$CI$29,'11.RESUMEN'!$D$28:$CI$28,A13)+SUMIFS('11.RESUMEN'!$D$34:$CD$34,'11.RESUMEN'!$D$33:$CD$33,A13)+SUMIFS('11.RESUMEN'!$D$39:$CD$39,'11.RESUMEN'!$D$38:$CD$38,A13)+SUMIFS('11.RESUMEN'!$D$44:$CE$44,'11.RESUMEN'!$D$43:$CE$43,A13)+SUMIFS('11.RESUMEN'!$D$50:$CD$50,'11.RESUMEN'!$D$49:$CD$49,A13),0)</f>
        <v>#VALUE!</v>
      </c>
    </row>
    <row r="14" spans="1:3" ht="18" x14ac:dyDescent="0.25">
      <c r="A14" s="200" t="s">
        <v>443</v>
      </c>
      <c r="B14" s="201" t="s">
        <v>444</v>
      </c>
      <c r="C14" s="202" t="e">
        <f>+ROUND(SUMIFS('11.RESUMEN'!$D$12:$CE$12,'11.RESUMEN'!$D$11:$CE$11,A14)+SUMIFS('11.RESUMEN'!$D$18:$CI$18,'11.RESUMEN'!$D$17:$CI$17,A14)+SUMIFS('11.RESUMEN'!$D$25:$CD$25,'11.RESUMEN'!$D$24:$CH$24,A14)+SUMIFS('11.RESUMEN'!$D$29:$CI$29,'11.RESUMEN'!$D$28:$CI$28,A14)+SUMIFS('11.RESUMEN'!$D$34:$CD$34,'11.RESUMEN'!$D$33:$CD$33,A14)+SUMIFS('11.RESUMEN'!$D$39:$CD$39,'11.RESUMEN'!$D$38:$CD$38,A14)+SUMIFS('11.RESUMEN'!$D$44:$CE$44,'11.RESUMEN'!$D$43:$CE$43,A14)+SUMIFS('11.RESUMEN'!$D$50:$CD$50,'11.RESUMEN'!$D$49:$CD$49,A14),0)</f>
        <v>#VALUE!</v>
      </c>
    </row>
    <row r="15" spans="1:3" ht="18" x14ac:dyDescent="0.25">
      <c r="A15" s="200" t="s">
        <v>445</v>
      </c>
      <c r="B15" s="201" t="s">
        <v>446</v>
      </c>
      <c r="C15" s="202" t="e">
        <f>+ROUND(SUMIFS('11.RESUMEN'!$D$12:$CE$12,'11.RESUMEN'!$D$11:$CE$11,A15)+SUMIFS('11.RESUMEN'!$D$18:$CI$18,'11.RESUMEN'!$D$17:$CI$17,A15)+SUMIFS('11.RESUMEN'!$D$25:$CD$25,'11.RESUMEN'!$D$24:$CH$24,A15)+SUMIFS('11.RESUMEN'!$D$29:$CI$29,'11.RESUMEN'!$D$28:$CI$28,A15)+SUMIFS('11.RESUMEN'!$D$34:$CD$34,'11.RESUMEN'!$D$33:$CD$33,A15)+SUMIFS('11.RESUMEN'!$D$39:$CD$39,'11.RESUMEN'!$D$38:$CD$38,A15)+SUMIFS('11.RESUMEN'!$D$44:$CE$44,'11.RESUMEN'!$D$43:$CE$43,A15)+SUMIFS('11.RESUMEN'!$D$50:$CD$50,'11.RESUMEN'!$D$49:$CD$49,A15),0)</f>
        <v>#VALUE!</v>
      </c>
    </row>
    <row r="16" spans="1:3" ht="18" x14ac:dyDescent="0.25">
      <c r="A16" s="200" t="s">
        <v>447</v>
      </c>
      <c r="B16" s="201" t="s">
        <v>448</v>
      </c>
      <c r="C16" s="202" t="e">
        <f>+ROUND(SUMIFS('11.RESUMEN'!$D$12:$CE$12,'11.RESUMEN'!$D$11:$CE$11,A16)+SUMIFS('11.RESUMEN'!$D$18:$CI$18,'11.RESUMEN'!$D$17:$CI$17,A16)+SUMIFS('11.RESUMEN'!$D$25:$CD$25,'11.RESUMEN'!$D$24:$CH$24,A16)+SUMIFS('11.RESUMEN'!$D$29:$CI$29,'11.RESUMEN'!$D$28:$CI$28,A16)+SUMIFS('11.RESUMEN'!$D$34:$CD$34,'11.RESUMEN'!$D$33:$CD$33,A16)+SUMIFS('11.RESUMEN'!$D$39:$CD$39,'11.RESUMEN'!$D$38:$CD$38,A16)+SUMIFS('11.RESUMEN'!$D$44:$CE$44,'11.RESUMEN'!$D$43:$CE$43,A16)+SUMIFS('11.RESUMEN'!$D$50:$CD$50,'11.RESUMEN'!$D$49:$CD$49,A16),0)</f>
        <v>#VALUE!</v>
      </c>
    </row>
    <row r="17" spans="1:3" ht="18" x14ac:dyDescent="0.25">
      <c r="A17" s="200" t="s">
        <v>449</v>
      </c>
      <c r="B17" s="201" t="s">
        <v>450</v>
      </c>
      <c r="C17" s="202" t="e">
        <f>+ROUND(SUMIFS('11.RESUMEN'!$D$12:$CE$12,'11.RESUMEN'!$D$11:$CE$11,A17)+SUMIFS('11.RESUMEN'!$D$18:$CI$18,'11.RESUMEN'!$D$17:$CI$17,A17)+SUMIFS('11.RESUMEN'!$D$25:$CD$25,'11.RESUMEN'!$D$24:$CH$24,A17)+SUMIFS('11.RESUMEN'!$D$29:$CI$29,'11.RESUMEN'!$D$28:$CI$28,A17)+SUMIFS('11.RESUMEN'!$D$34:$CD$34,'11.RESUMEN'!$D$33:$CD$33,A17)+SUMIFS('11.RESUMEN'!$D$39:$CD$39,'11.RESUMEN'!$D$38:$CD$38,A17)+SUMIFS('11.RESUMEN'!$D$44:$CE$44,'11.RESUMEN'!$D$43:$CE$43,A17)+SUMIFS('11.RESUMEN'!$D$50:$CD$50,'11.RESUMEN'!$D$49:$CD$49,A17),0)</f>
        <v>#VALUE!</v>
      </c>
    </row>
    <row r="18" spans="1:3" ht="18" x14ac:dyDescent="0.25">
      <c r="A18" s="200" t="s">
        <v>451</v>
      </c>
      <c r="B18" s="201" t="s">
        <v>452</v>
      </c>
      <c r="C18" s="202" t="e">
        <f>+ROUND(SUMIFS('11.RESUMEN'!$D$12:$CE$12,'11.RESUMEN'!$D$11:$CE$11,A18)+SUMIFS('11.RESUMEN'!$D$18:$CI$18,'11.RESUMEN'!$D$17:$CI$17,A18)+SUMIFS('11.RESUMEN'!$D$25:$CD$25,'11.RESUMEN'!$D$24:$CH$24,A18)+SUMIFS('11.RESUMEN'!$D$29:$CI$29,'11.RESUMEN'!$D$28:$CI$28,A18)+SUMIFS('11.RESUMEN'!$D$34:$CD$34,'11.RESUMEN'!$D$33:$CD$33,A18)+SUMIFS('11.RESUMEN'!$D$39:$CD$39,'11.RESUMEN'!$D$38:$CD$38,A18)+SUMIFS('11.RESUMEN'!$D$44:$CE$44,'11.RESUMEN'!$D$43:$CE$43,A18)+SUMIFS('11.RESUMEN'!$D$50:$CD$50,'11.RESUMEN'!$D$49:$CD$49,A18),0)</f>
        <v>#VALUE!</v>
      </c>
    </row>
    <row r="19" spans="1:3" ht="18" x14ac:dyDescent="0.25">
      <c r="A19" s="200" t="s">
        <v>453</v>
      </c>
      <c r="B19" s="201" t="s">
        <v>454</v>
      </c>
      <c r="C19" s="202" t="e">
        <f>+ROUND(SUMIFS('11.RESUMEN'!$D$12:$CE$12,'11.RESUMEN'!$D$11:$CE$11,A19)+SUMIFS('11.RESUMEN'!$D$18:$CI$18,'11.RESUMEN'!$D$17:$CI$17,A19)+SUMIFS('11.RESUMEN'!$D$25:$CD$25,'11.RESUMEN'!$D$24:$CH$24,A19)+SUMIFS('11.RESUMEN'!$D$29:$CI$29,'11.RESUMEN'!$D$28:$CI$28,A19)+SUMIFS('11.RESUMEN'!$D$34:$CD$34,'11.RESUMEN'!$D$33:$CD$33,A19)+SUMIFS('11.RESUMEN'!$D$39:$CD$39,'11.RESUMEN'!$D$38:$CD$38,A19)+SUMIFS('11.RESUMEN'!$D$44:$CE$44,'11.RESUMEN'!$D$43:$CE$43,A19)+SUMIFS('11.RESUMEN'!$D$50:$CD$50,'11.RESUMEN'!$D$49:$CD$49,A19),0)</f>
        <v>#VALUE!</v>
      </c>
    </row>
    <row r="20" spans="1:3" ht="18" x14ac:dyDescent="0.25">
      <c r="A20" s="200" t="s">
        <v>364</v>
      </c>
      <c r="B20" s="201" t="s">
        <v>455</v>
      </c>
      <c r="C20" s="202" t="e">
        <f>+ROUND(SUMIFS('11.RESUMEN'!$D$12:$CE$12,'11.RESUMEN'!$D$11:$CE$11,A20)+SUMIFS('11.RESUMEN'!$D$18:$CI$18,'11.RESUMEN'!$D$17:$CI$17,A20)+SUMIFS('11.RESUMEN'!$D$25:$CD$25,'11.RESUMEN'!$D$24:$CH$24,A20)+SUMIFS('11.RESUMEN'!$D$29:$CI$29,'11.RESUMEN'!$D$28:$CI$28,A20)+SUMIFS('11.RESUMEN'!$D$34:$CD$34,'11.RESUMEN'!$D$33:$CD$33,A20)+SUMIFS('11.RESUMEN'!$D$39:$CD$39,'11.RESUMEN'!$D$38:$CD$38,A20)+SUMIFS('11.RESUMEN'!$D$44:$CE$44,'11.RESUMEN'!$D$43:$CE$43,A20)+SUMIFS('11.RESUMEN'!$D$50:$CD$50,'11.RESUMEN'!$D$49:$CD$49,A20),0)</f>
        <v>#VALUE!</v>
      </c>
    </row>
    <row r="21" spans="1:3" ht="18" x14ac:dyDescent="0.25">
      <c r="A21" s="200" t="s">
        <v>456</v>
      </c>
      <c r="B21" s="201" t="s">
        <v>457</v>
      </c>
      <c r="C21" s="202" t="e">
        <f>+ROUND(SUMIFS('11.RESUMEN'!$D$12:$CE$12,'11.RESUMEN'!$D$11:$CE$11,A21)+SUMIFS('11.RESUMEN'!$D$18:$CI$18,'11.RESUMEN'!$D$17:$CI$17,A21)+SUMIFS('11.RESUMEN'!$D$25:$CD$25,'11.RESUMEN'!$D$24:$CH$24,A21)+SUMIFS('11.RESUMEN'!$D$29:$CI$29,'11.RESUMEN'!$D$28:$CI$28,A21)+SUMIFS('11.RESUMEN'!$D$34:$CD$34,'11.RESUMEN'!$D$33:$CD$33,A21)+SUMIFS('11.RESUMEN'!$D$39:$CD$39,'11.RESUMEN'!$D$38:$CD$38,A21)+SUMIFS('11.RESUMEN'!$D$44:$CE$44,'11.RESUMEN'!$D$43:$CE$43,A21)+SUMIFS('11.RESUMEN'!$D$50:$CD$50,'11.RESUMEN'!$D$49:$CD$49,A21),0)</f>
        <v>#VALUE!</v>
      </c>
    </row>
    <row r="22" spans="1:3" ht="18" x14ac:dyDescent="0.25">
      <c r="A22" s="197" t="s">
        <v>458</v>
      </c>
      <c r="B22" s="198" t="s">
        <v>459</v>
      </c>
      <c r="C22" s="199" t="e">
        <f>SUM(C23:C24)</f>
        <v>#VALUE!</v>
      </c>
    </row>
    <row r="23" spans="1:3" ht="18" x14ac:dyDescent="0.25">
      <c r="A23" s="200" t="s">
        <v>363</v>
      </c>
      <c r="B23" s="201" t="s">
        <v>460</v>
      </c>
      <c r="C23" s="202" t="e">
        <f>+ROUND(SUMIFS('11.RESUMEN'!$D$12:$CE$12,'11.RESUMEN'!$D$11:$CE$11,A23)+SUMIFS('11.RESUMEN'!$D$18:$CI$18,'11.RESUMEN'!$D$17:$CI$17,A23)+SUMIFS('11.RESUMEN'!$D$25:$CD$25,'11.RESUMEN'!$D$24:$CH$24,A23)+SUMIFS('11.RESUMEN'!$D$29:$CI$29,'11.RESUMEN'!$D$28:$CI$28,A23)+SUMIFS('11.RESUMEN'!$D$34:$CD$34,'11.RESUMEN'!$D$33:$CD$33,A23)+SUMIFS('11.RESUMEN'!$D$39:$CD$39,'11.RESUMEN'!$D$38:$CD$38,A23)+SUMIFS('11.RESUMEN'!$D$44:$CE$44,'11.RESUMEN'!$D$43:$CE$43,A23)+SUMIFS('11.RESUMEN'!$D$50:$CD$50,'11.RESUMEN'!$D$49:$CD$49,A23),0)</f>
        <v>#VALUE!</v>
      </c>
    </row>
    <row r="24" spans="1:3" ht="18" x14ac:dyDescent="0.25">
      <c r="A24" s="200" t="s">
        <v>371</v>
      </c>
      <c r="B24" s="201" t="s">
        <v>461</v>
      </c>
      <c r="C24" s="202" t="e">
        <f>+ROUND(SUMIFS('11.RESUMEN'!$D$12:$CE$12,'11.RESUMEN'!$D$11:$CE$11,A24)+SUMIFS('11.RESUMEN'!$D$18:$CI$18,'11.RESUMEN'!$D$17:$CI$17,A24)+SUMIFS('11.RESUMEN'!$D$25:$CD$25,'11.RESUMEN'!$D$24:$CH$24,A24)+SUMIFS('11.RESUMEN'!$D$29:$CI$29,'11.RESUMEN'!$D$28:$CI$28,A24)+SUMIFS('11.RESUMEN'!$D$34:$CD$34,'11.RESUMEN'!$D$33:$CD$33,A24)+SUMIFS('11.RESUMEN'!$D$39:$CD$39,'11.RESUMEN'!$D$38:$CD$38,A24)+SUMIFS('11.RESUMEN'!$D$44:$CE$44,'11.RESUMEN'!$D$43:$CE$43,A24)+SUMIFS('11.RESUMEN'!$D$50:$CD$50,'11.RESUMEN'!$D$49:$CD$49,A24),0)</f>
        <v>#VALUE!</v>
      </c>
    </row>
    <row r="25" spans="1:3" ht="36" x14ac:dyDescent="0.25">
      <c r="A25" s="200" t="s">
        <v>462</v>
      </c>
      <c r="B25" s="201" t="s">
        <v>463</v>
      </c>
      <c r="C25" s="202" t="e">
        <f>+ROUND(SUMIFS('11.RESUMEN'!$D$12:$CE$12,'11.RESUMEN'!$D$11:$CE$11,A25)+SUMIFS('11.RESUMEN'!$D$18:$CI$18,'11.RESUMEN'!$D$17:$CI$17,A25)+SUMIFS('11.RESUMEN'!$D$25:$CD$25,'11.RESUMEN'!$D$24:$CH$24,A25)+SUMIFS('11.RESUMEN'!$D$29:$CI$29,'11.RESUMEN'!$D$28:$CI$28,A25)+SUMIFS('11.RESUMEN'!$D$34:$CD$34,'11.RESUMEN'!$D$33:$CD$33,A25)+SUMIFS('11.RESUMEN'!$D$39:$CD$39,'11.RESUMEN'!$D$38:$CD$38,A25)+SUMIFS('11.RESUMEN'!$D$44:$CE$44,'11.RESUMEN'!$D$43:$CE$43,A25)+SUMIFS('11.RESUMEN'!$D$50:$CD$50,'11.RESUMEN'!$D$49:$CD$49,A25),0)</f>
        <v>#VALUE!</v>
      </c>
    </row>
    <row r="26" spans="1:3" ht="18" x14ac:dyDescent="0.25">
      <c r="A26" s="200" t="s">
        <v>464</v>
      </c>
      <c r="B26" s="201" t="s">
        <v>465</v>
      </c>
      <c r="C26" s="202" t="e">
        <f>+ROUND(SUMIFS('11.RESUMEN'!$D$12:$CE$12,'11.RESUMEN'!$D$11:$CE$11,A26)+SUMIFS('11.RESUMEN'!$D$18:$CI$18,'11.RESUMEN'!$D$17:$CI$17,A26)+SUMIFS('11.RESUMEN'!$D$25:$CD$25,'11.RESUMEN'!$D$24:$CH$24,A26)+SUMIFS('11.RESUMEN'!$D$29:$CI$29,'11.RESUMEN'!$D$28:$CI$28,A26)+SUMIFS('11.RESUMEN'!$D$34:$CD$34,'11.RESUMEN'!$D$33:$CD$33,A26)+SUMIFS('11.RESUMEN'!$D$39:$CD$39,'11.RESUMEN'!$D$38:$CD$38,A26)+SUMIFS('11.RESUMEN'!$D$44:$CE$44,'11.RESUMEN'!$D$43:$CE$43,A26)+SUMIFS('11.RESUMEN'!$D$50:$CD$50,'11.RESUMEN'!$D$49:$CD$49,A26),0)</f>
        <v>#VALUE!</v>
      </c>
    </row>
    <row r="27" spans="1:3" ht="18" x14ac:dyDescent="0.25">
      <c r="A27" s="200" t="s">
        <v>466</v>
      </c>
      <c r="B27" s="201" t="s">
        <v>467</v>
      </c>
      <c r="C27" s="202" t="e">
        <f>+ROUND(SUMIFS('11.RESUMEN'!$D$12:$CE$12,'11.RESUMEN'!$D$11:$CE$11,A27)+SUMIFS('11.RESUMEN'!$D$18:$CI$18,'11.RESUMEN'!$D$17:$CI$17,A27)+SUMIFS('11.RESUMEN'!$D$25:$CD$25,'11.RESUMEN'!$D$24:$CH$24,A27)+SUMIFS('11.RESUMEN'!$D$29:$CI$29,'11.RESUMEN'!$D$28:$CI$28,A27)+SUMIFS('11.RESUMEN'!$D$34:$CD$34,'11.RESUMEN'!$D$33:$CD$33,A27)+SUMIFS('11.RESUMEN'!$D$39:$CD$39,'11.RESUMEN'!$D$38:$CD$38,A27)+SUMIFS('11.RESUMEN'!$D$44:$CE$44,'11.RESUMEN'!$D$43:$CE$43,A27)+SUMIFS('11.RESUMEN'!$D$50:$CD$50,'11.RESUMEN'!$D$49:$CD$49,A27),0)</f>
        <v>#VALUE!</v>
      </c>
    </row>
    <row r="28" spans="1:3" ht="18" x14ac:dyDescent="0.25">
      <c r="A28" s="200" t="s">
        <v>468</v>
      </c>
      <c r="B28" s="201" t="s">
        <v>469</v>
      </c>
      <c r="C28" s="202" t="e">
        <f>+ROUND(SUMIFS('11.RESUMEN'!$D$12:$CE$12,'11.RESUMEN'!$D$11:$CE$11,A28)+SUMIFS('11.RESUMEN'!$D$18:$CI$18,'11.RESUMEN'!$D$17:$CI$17,A28)+SUMIFS('11.RESUMEN'!$D$25:$CD$25,'11.RESUMEN'!$D$24:$CH$24,A28)+SUMIFS('11.RESUMEN'!$D$29:$CI$29,'11.RESUMEN'!$D$28:$CI$28,A28)+SUMIFS('11.RESUMEN'!$D$34:$CD$34,'11.RESUMEN'!$D$33:$CD$33,A28)+SUMIFS('11.RESUMEN'!$D$39:$CD$39,'11.RESUMEN'!$D$38:$CD$38,A28)+SUMIFS('11.RESUMEN'!$D$44:$CE$44,'11.RESUMEN'!$D$43:$CE$43,A28)+SUMIFS('11.RESUMEN'!$D$50:$CD$50,'11.RESUMEN'!$D$49:$CD$49,A28),0)</f>
        <v>#VALUE!</v>
      </c>
    </row>
    <row r="29" spans="1:3" ht="18" x14ac:dyDescent="0.25">
      <c r="A29" s="200" t="s">
        <v>470</v>
      </c>
      <c r="B29" s="201" t="s">
        <v>471</v>
      </c>
      <c r="C29" s="202" t="e">
        <f>+ROUND(SUMIFS('11.RESUMEN'!$D$12:$CE$12,'11.RESUMEN'!$D$11:$CE$11,A29)+SUMIFS('11.RESUMEN'!$D$18:$CI$18,'11.RESUMEN'!$D$17:$CI$17,A29)+SUMIFS('11.RESUMEN'!$D$25:$CD$25,'11.RESUMEN'!$D$24:$CH$24,A29)+SUMIFS('11.RESUMEN'!$D$29:$CI$29,'11.RESUMEN'!$D$28:$CI$28,A29)+SUMIFS('11.RESUMEN'!$D$34:$CD$34,'11.RESUMEN'!$D$33:$CD$33,A29)+SUMIFS('11.RESUMEN'!$D$39:$CD$39,'11.RESUMEN'!$D$38:$CD$38,A29)+SUMIFS('11.RESUMEN'!$D$44:$CE$44,'11.RESUMEN'!$D$43:$CE$43,A29)+SUMIFS('11.RESUMEN'!$D$50:$CD$50,'11.RESUMEN'!$D$49:$CD$49,A29),0)</f>
        <v>#VALUE!</v>
      </c>
    </row>
    <row r="30" spans="1:3" ht="18" x14ac:dyDescent="0.25">
      <c r="A30" s="200" t="s">
        <v>472</v>
      </c>
      <c r="B30" s="201" t="s">
        <v>473</v>
      </c>
      <c r="C30" s="202" t="e">
        <f>+ROUND(SUMIFS('11.RESUMEN'!$D$12:$CE$12,'11.RESUMEN'!$D$11:$CE$11,A30)+SUMIFS('11.RESUMEN'!$D$18:$CI$18,'11.RESUMEN'!$D$17:$CI$17,A30)+SUMIFS('11.RESUMEN'!$D$25:$CD$25,'11.RESUMEN'!$D$24:$CH$24,A30)+SUMIFS('11.RESUMEN'!$D$29:$CI$29,'11.RESUMEN'!$D$28:$CI$28,A30)+SUMIFS('11.RESUMEN'!$D$34:$CD$34,'11.RESUMEN'!$D$33:$CD$33,A30)+SUMIFS('11.RESUMEN'!$D$39:$CD$39,'11.RESUMEN'!$D$38:$CD$38,A30)+SUMIFS('11.RESUMEN'!$D$44:$CE$44,'11.RESUMEN'!$D$43:$CE$43,A30)+SUMIFS('11.RESUMEN'!$D$50:$CD$50,'11.RESUMEN'!$D$49:$CD$49,A30),0)</f>
        <v>#VALUE!</v>
      </c>
    </row>
    <row r="31" spans="1:3" ht="36" x14ac:dyDescent="0.25">
      <c r="A31" s="200" t="s">
        <v>474</v>
      </c>
      <c r="B31" s="201" t="s">
        <v>475</v>
      </c>
      <c r="C31" s="202" t="e">
        <f>+ROUND(SUMIFS('11.RESUMEN'!$D$12:$CE$12,'11.RESUMEN'!$D$11:$CE$11,A31)+SUMIFS('11.RESUMEN'!$D$18:$CI$18,'11.RESUMEN'!$D$17:$CI$17,A31)+SUMIFS('11.RESUMEN'!$D$25:$CD$25,'11.RESUMEN'!$D$24:$CH$24,A31)+SUMIFS('11.RESUMEN'!$D$29:$CI$29,'11.RESUMEN'!$D$28:$CI$28,A31)+SUMIFS('11.RESUMEN'!$D$34:$CD$34,'11.RESUMEN'!$D$33:$CD$33,A31)+SUMIFS('11.RESUMEN'!$D$39:$CD$39,'11.RESUMEN'!$D$38:$CD$38,A31)+SUMIFS('11.RESUMEN'!$D$44:$CE$44,'11.RESUMEN'!$D$43:$CE$43,A31)+SUMIFS('11.RESUMEN'!$D$50:$CD$50,'11.RESUMEN'!$D$49:$CD$49,A31),0)</f>
        <v>#VALUE!</v>
      </c>
    </row>
    <row r="32" spans="1:3" ht="18" x14ac:dyDescent="0.25">
      <c r="A32" s="200" t="s">
        <v>230</v>
      </c>
      <c r="B32" s="201" t="s">
        <v>476</v>
      </c>
      <c r="C32" s="202" t="e">
        <f>+ROUND(SUMIFS('11.RESUMEN'!$D$12:$CE$12,'11.RESUMEN'!$D$11:$CE$11,A32)+SUMIFS('11.RESUMEN'!$D$18:$CI$18,'11.RESUMEN'!$D$17:$CI$17,A32)+SUMIFS('11.RESUMEN'!$D$25:$CD$25,'11.RESUMEN'!$D$24:$CH$24,A32)+SUMIFS('11.RESUMEN'!$D$29:$CI$29,'11.RESUMEN'!$D$28:$CI$28,A32)+SUMIFS('11.RESUMEN'!$D$34:$CD$34,'11.RESUMEN'!$D$33:$CD$33,A32)+SUMIFS('11.RESUMEN'!$D$39:$CD$39,'11.RESUMEN'!$D$38:$CD$38,A32)+SUMIFS('11.RESUMEN'!$D$44:$CE$44,'11.RESUMEN'!$D$43:$CE$43,A32)+SUMIFS('11.RESUMEN'!$D$50:$CD$50,'11.RESUMEN'!$D$49:$CD$49,A32),0)</f>
        <v>#VALUE!</v>
      </c>
    </row>
    <row r="33" spans="1:3" ht="36" x14ac:dyDescent="0.25">
      <c r="A33" s="200" t="s">
        <v>477</v>
      </c>
      <c r="B33" s="201" t="s">
        <v>478</v>
      </c>
      <c r="C33" s="202" t="e">
        <f>+ROUND(SUMIFS('11.RESUMEN'!$D$12:$CE$12,'11.RESUMEN'!$D$11:$CE$11,A33)+SUMIFS('11.RESUMEN'!$D$18:$CI$18,'11.RESUMEN'!$D$17:$CI$17,A33)+SUMIFS('11.RESUMEN'!$D$25:$CD$25,'11.RESUMEN'!$D$24:$CH$24,A33)+SUMIFS('11.RESUMEN'!$D$29:$CI$29,'11.RESUMEN'!$D$28:$CI$28,A33)+SUMIFS('11.RESUMEN'!$D$34:$CD$34,'11.RESUMEN'!$D$33:$CD$33,A33)+SUMIFS('11.RESUMEN'!$D$39:$CD$39,'11.RESUMEN'!$D$38:$CD$38,A33)+SUMIFS('11.RESUMEN'!$D$44:$CE$44,'11.RESUMEN'!$D$43:$CE$43,A33)+SUMIFS('11.RESUMEN'!$D$50:$CD$50,'11.RESUMEN'!$D$49:$CD$49,A33),0)</f>
        <v>#VALUE!</v>
      </c>
    </row>
    <row r="34" spans="1:3" ht="18" x14ac:dyDescent="0.25">
      <c r="A34" s="200" t="s">
        <v>479</v>
      </c>
      <c r="B34" s="201" t="s">
        <v>480</v>
      </c>
      <c r="C34" s="202" t="e">
        <f>+ROUND(SUMIFS('11.RESUMEN'!$D$12:$CE$12,'11.RESUMEN'!$D$11:$CE$11,A34)+SUMIFS('11.RESUMEN'!$D$18:$CI$18,'11.RESUMEN'!$D$17:$CI$17,A34)+SUMIFS('11.RESUMEN'!$D$25:$CD$25,'11.RESUMEN'!$D$24:$CH$24,A34)+SUMIFS('11.RESUMEN'!$D$29:$CI$29,'11.RESUMEN'!$D$28:$CI$28,A34)+SUMIFS('11.RESUMEN'!$D$34:$CD$34,'11.RESUMEN'!$D$33:$CD$33,A34)+SUMIFS('11.RESUMEN'!$D$39:$CD$39,'11.RESUMEN'!$D$38:$CD$38,A34)+SUMIFS('11.RESUMEN'!$D$44:$CE$44,'11.RESUMEN'!$D$43:$CE$43,A34)+SUMIFS('11.RESUMEN'!$D$50:$CD$50,'11.RESUMEN'!$D$49:$CD$49,A34),0)</f>
        <v>#VALUE!</v>
      </c>
    </row>
    <row r="35" spans="1:3" ht="18" x14ac:dyDescent="0.25">
      <c r="A35" s="200" t="s">
        <v>481</v>
      </c>
      <c r="B35" s="201" t="s">
        <v>482</v>
      </c>
      <c r="C35" s="202" t="e">
        <f>+ROUND(SUMIFS('11.RESUMEN'!$D$12:$CE$12,'11.RESUMEN'!$D$11:$CE$11,A35)+SUMIFS('11.RESUMEN'!$D$18:$CI$18,'11.RESUMEN'!$D$17:$CI$17,A35)+SUMIFS('11.RESUMEN'!$D$25:$CD$25,'11.RESUMEN'!$D$24:$CH$24,A35)+SUMIFS('11.RESUMEN'!$D$29:$CI$29,'11.RESUMEN'!$D$28:$CI$28,A35)+SUMIFS('11.RESUMEN'!$D$34:$CD$34,'11.RESUMEN'!$D$33:$CD$33,A35)+SUMIFS('11.RESUMEN'!$D$39:$CD$39,'11.RESUMEN'!$D$38:$CD$38,A35)+SUMIFS('11.RESUMEN'!$D$44:$CE$44,'11.RESUMEN'!$D$43:$CE$43,A35)+SUMIFS('11.RESUMEN'!$D$50:$CD$50,'11.RESUMEN'!$D$49:$CD$49,A35),0)</f>
        <v>#VALUE!</v>
      </c>
    </row>
    <row r="36" spans="1:3" ht="18" x14ac:dyDescent="0.25">
      <c r="A36" s="197" t="s">
        <v>483</v>
      </c>
      <c r="B36" s="198" t="s">
        <v>484</v>
      </c>
      <c r="C36" s="199" t="e">
        <f>SUM(C37:C43)</f>
        <v>#VALUE!</v>
      </c>
    </row>
    <row r="37" spans="1:3" ht="36" x14ac:dyDescent="0.25">
      <c r="A37" s="200" t="s">
        <v>485</v>
      </c>
      <c r="B37" s="201" t="s">
        <v>486</v>
      </c>
      <c r="C37" s="202" t="e">
        <f>+ROUND(SUMIFS('11.RESUMEN'!$D$12:$CE$12,'11.RESUMEN'!$D$11:$CE$11,A37)+SUMIFS('11.RESUMEN'!$D$18:$CI$18,'11.RESUMEN'!$D$17:$CI$17,A37)+SUMIFS('11.RESUMEN'!$D$25:$CD$25,'11.RESUMEN'!$D$24:$CH$24,A37)+SUMIFS('11.RESUMEN'!$D$29:$CI$29,'11.RESUMEN'!$D$28:$CI$28,A37)+SUMIFS('11.RESUMEN'!$D$34:$CD$34,'11.RESUMEN'!$D$33:$CD$33,A37)+SUMIFS('11.RESUMEN'!$D$39:$CD$39,'11.RESUMEN'!$D$38:$CD$38,A37)+SUMIFS('11.RESUMEN'!$D$44:$CE$44,'11.RESUMEN'!$D$43:$CE$43,A37)+SUMIFS('11.RESUMEN'!$D$50:$CD$50,'11.RESUMEN'!$D$49:$CD$49,A37),0)</f>
        <v>#VALUE!</v>
      </c>
    </row>
    <row r="38" spans="1:3" ht="36" x14ac:dyDescent="0.25">
      <c r="A38" s="200" t="s">
        <v>487</v>
      </c>
      <c r="B38" s="201" t="s">
        <v>488</v>
      </c>
      <c r="C38" s="202" t="e">
        <f>+ROUND(SUMIFS('11.RESUMEN'!$D$12:$CE$12,'11.RESUMEN'!$D$11:$CE$11,A38)+SUMIFS('11.RESUMEN'!$D$18:$CI$18,'11.RESUMEN'!$D$17:$CI$17,A38)+SUMIFS('11.RESUMEN'!$D$25:$CD$25,'11.RESUMEN'!$D$24:$CH$24,A38)+SUMIFS('11.RESUMEN'!$D$29:$CI$29,'11.RESUMEN'!$D$28:$CI$28,A38)+SUMIFS('11.RESUMEN'!$D$34:$CD$34,'11.RESUMEN'!$D$33:$CD$33,A38)+SUMIFS('11.RESUMEN'!$D$39:$CD$39,'11.RESUMEN'!$D$38:$CD$38,A38)+SUMIFS('11.RESUMEN'!$D$44:$CE$44,'11.RESUMEN'!$D$43:$CE$43,A38)+SUMIFS('11.RESUMEN'!$D$50:$CD$50,'11.RESUMEN'!$D$49:$CD$49,A38),0)</f>
        <v>#VALUE!</v>
      </c>
    </row>
    <row r="39" spans="1:3" ht="36" x14ac:dyDescent="0.25">
      <c r="A39" s="200" t="s">
        <v>489</v>
      </c>
      <c r="B39" s="201" t="s">
        <v>490</v>
      </c>
      <c r="C39" s="202" t="e">
        <f>+ROUND(SUMIFS('11.RESUMEN'!$D$12:$CE$12,'11.RESUMEN'!$D$11:$CE$11,A39)+SUMIFS('11.RESUMEN'!$D$18:$CI$18,'11.RESUMEN'!$D$17:$CI$17,A39)+SUMIFS('11.RESUMEN'!$D$25:$CD$25,'11.RESUMEN'!$D$24:$CH$24,A39)+SUMIFS('11.RESUMEN'!$D$29:$CI$29,'11.RESUMEN'!$D$28:$CI$28,A39)+SUMIFS('11.RESUMEN'!$D$34:$CD$34,'11.RESUMEN'!$D$33:$CD$33,A39)+SUMIFS('11.RESUMEN'!$D$39:$CD$39,'11.RESUMEN'!$D$38:$CD$38,A39)+SUMIFS('11.RESUMEN'!$D$44:$CE$44,'11.RESUMEN'!$D$43:$CE$43,A39)+SUMIFS('11.RESUMEN'!$D$50:$CD$50,'11.RESUMEN'!$D$49:$CD$49,A39),0)</f>
        <v>#VALUE!</v>
      </c>
    </row>
    <row r="40" spans="1:3" ht="36" x14ac:dyDescent="0.25">
      <c r="A40" s="200" t="s">
        <v>491</v>
      </c>
      <c r="B40" s="201" t="s">
        <v>492</v>
      </c>
      <c r="C40" s="202" t="e">
        <f>+ROUND(SUMIFS('11.RESUMEN'!$D$12:$CE$12,'11.RESUMEN'!$D$11:$CE$11,A40)+SUMIFS('11.RESUMEN'!$D$18:$CI$18,'11.RESUMEN'!$D$17:$CI$17,A40)+SUMIFS('11.RESUMEN'!$D$25:$CD$25,'11.RESUMEN'!$D$24:$CH$24,A40)+SUMIFS('11.RESUMEN'!$D$29:$CI$29,'11.RESUMEN'!$D$28:$CI$28,A40)+SUMIFS('11.RESUMEN'!$D$34:$CD$34,'11.RESUMEN'!$D$33:$CD$33,A40)+SUMIFS('11.RESUMEN'!$D$39:$CD$39,'11.RESUMEN'!$D$38:$CD$38,A40)+SUMIFS('11.RESUMEN'!$D$44:$CE$44,'11.RESUMEN'!$D$43:$CE$43,A40)+SUMIFS('11.RESUMEN'!$D$50:$CD$50,'11.RESUMEN'!$D$49:$CD$49,A40),0)</f>
        <v>#VALUE!</v>
      </c>
    </row>
    <row r="41" spans="1:3" ht="36" x14ac:dyDescent="0.25">
      <c r="A41" s="200" t="s">
        <v>493</v>
      </c>
      <c r="B41" s="201" t="s">
        <v>494</v>
      </c>
      <c r="C41" s="202" t="e">
        <f>+ROUND(SUMIFS('11.RESUMEN'!$D$12:$CE$12,'11.RESUMEN'!$D$11:$CE$11,A41)+SUMIFS('11.RESUMEN'!$D$18:$CI$18,'11.RESUMEN'!$D$17:$CI$17,A41)+SUMIFS('11.RESUMEN'!$D$25:$CD$25,'11.RESUMEN'!$D$24:$CH$24,A41)+SUMIFS('11.RESUMEN'!$D$29:$CI$29,'11.RESUMEN'!$D$28:$CI$28,A41)+SUMIFS('11.RESUMEN'!$D$34:$CD$34,'11.RESUMEN'!$D$33:$CD$33,A41)+SUMIFS('11.RESUMEN'!$D$39:$CD$39,'11.RESUMEN'!$D$38:$CD$38,A41)+SUMIFS('11.RESUMEN'!$D$44:$CE$44,'11.RESUMEN'!$D$43:$CE$43,A41)+SUMIFS('11.RESUMEN'!$D$50:$CD$50,'11.RESUMEN'!$D$49:$CD$49,A41),0)</f>
        <v>#VALUE!</v>
      </c>
    </row>
    <row r="42" spans="1:3" ht="54" x14ac:dyDescent="0.25">
      <c r="A42" s="200" t="s">
        <v>495</v>
      </c>
      <c r="B42" s="201" t="s">
        <v>496</v>
      </c>
      <c r="C42" s="202" t="e">
        <f>+ROUND(SUMIFS('11.RESUMEN'!$D$12:$CE$12,'11.RESUMEN'!$D$11:$CE$11,A42)+SUMIFS('11.RESUMEN'!$D$18:$CI$18,'11.RESUMEN'!$D$17:$CI$17,A42)+SUMIFS('11.RESUMEN'!$D$25:$CD$25,'11.RESUMEN'!$D$24:$CH$24,A42)+SUMIFS('11.RESUMEN'!$D$29:$CI$29,'11.RESUMEN'!$D$28:$CI$28,A42)+SUMIFS('11.RESUMEN'!$D$34:$CD$34,'11.RESUMEN'!$D$33:$CD$33,A42)+SUMIFS('11.RESUMEN'!$D$39:$CD$39,'11.RESUMEN'!$D$38:$CD$38,A42)+SUMIFS('11.RESUMEN'!$D$44:$CE$44,'11.RESUMEN'!$D$43:$CE$43,A42)+SUMIFS('11.RESUMEN'!$D$50:$CD$50,'11.RESUMEN'!$D$49:$CD$49,A42),0)</f>
        <v>#VALUE!</v>
      </c>
    </row>
    <row r="43" spans="1:3" ht="36" x14ac:dyDescent="0.25">
      <c r="A43" s="200" t="s">
        <v>497</v>
      </c>
      <c r="B43" s="201" t="s">
        <v>498</v>
      </c>
      <c r="C43" s="202" t="e">
        <f>+ROUND(SUMIFS('11.RESUMEN'!$D$12:$CE$12,'11.RESUMEN'!$D$11:$CE$11,A43)+SUMIFS('11.RESUMEN'!$D$18:$CI$18,'11.RESUMEN'!$D$17:$CI$17,A43)+SUMIFS('11.RESUMEN'!$D$25:$CD$25,'11.RESUMEN'!$D$24:$CH$24,A43)+SUMIFS('11.RESUMEN'!$D$29:$CI$29,'11.RESUMEN'!$D$28:$CI$28,A43)+SUMIFS('11.RESUMEN'!$D$34:$CD$34,'11.RESUMEN'!$D$33:$CD$33,A43)+SUMIFS('11.RESUMEN'!$D$39:$CD$39,'11.RESUMEN'!$D$38:$CD$38,A43)+SUMIFS('11.RESUMEN'!$D$44:$CE$44,'11.RESUMEN'!$D$43:$CE$43,A43)+SUMIFS('11.RESUMEN'!$D$50:$CD$50,'11.RESUMEN'!$D$49:$CD$49,A43),0)</f>
        <v>#VALUE!</v>
      </c>
    </row>
    <row r="44" spans="1:3" ht="18" x14ac:dyDescent="0.25">
      <c r="A44" s="197" t="s">
        <v>499</v>
      </c>
      <c r="B44" s="198" t="s">
        <v>500</v>
      </c>
      <c r="C44" s="199" t="e">
        <f>SUM(C45:C81)</f>
        <v>#VALUE!</v>
      </c>
    </row>
    <row r="45" spans="1:3" ht="18" x14ac:dyDescent="0.25">
      <c r="A45" s="200" t="s">
        <v>501</v>
      </c>
      <c r="B45" s="201" t="s">
        <v>502</v>
      </c>
      <c r="C45" s="202" t="e">
        <f>+ROUND(SUMIFS('11.RESUMEN'!$D$12:$CE$12,'11.RESUMEN'!$D$11:$CE$11,A45)+SUMIFS('11.RESUMEN'!$D$18:$CI$18,'11.RESUMEN'!$D$17:$CI$17,A45)+SUMIFS('11.RESUMEN'!$D$25:$CD$25,'11.RESUMEN'!$D$24:$CH$24,A45)+SUMIFS('11.RESUMEN'!$D$29:$CI$29,'11.RESUMEN'!$D$28:$CI$28,A45)+SUMIFS('11.RESUMEN'!$D$34:$CD$34,'11.RESUMEN'!$D$33:$CD$33,A45)+SUMIFS('11.RESUMEN'!$D$39:$CD$39,'11.RESUMEN'!$D$38:$CD$38,A45)+SUMIFS('11.RESUMEN'!$D$44:$CE$44,'11.RESUMEN'!$D$43:$CE$43,A45)+SUMIFS('11.RESUMEN'!$D$50:$CD$50,'11.RESUMEN'!$D$49:$CD$49,A45),0)</f>
        <v>#VALUE!</v>
      </c>
    </row>
    <row r="46" spans="1:3" ht="18" x14ac:dyDescent="0.25">
      <c r="A46" s="200" t="s">
        <v>503</v>
      </c>
      <c r="B46" s="201" t="s">
        <v>504</v>
      </c>
      <c r="C46" s="202" t="e">
        <f>+ROUND(SUMIFS('11.RESUMEN'!$D$12:$CE$12,'11.RESUMEN'!$D$11:$CE$11,A46)+SUMIFS('11.RESUMEN'!$D$18:$CI$18,'11.RESUMEN'!$D$17:$CI$17,A46)+SUMIFS('11.RESUMEN'!$D$25:$CD$25,'11.RESUMEN'!$D$24:$CH$24,A46)+SUMIFS('11.RESUMEN'!$D$29:$CI$29,'11.RESUMEN'!$D$28:$CI$28,A46)+SUMIFS('11.RESUMEN'!$D$34:$CD$34,'11.RESUMEN'!$D$33:$CD$33,A46)+SUMIFS('11.RESUMEN'!$D$39:$CD$39,'11.RESUMEN'!$D$38:$CD$38,A46)+SUMIFS('11.RESUMEN'!$D$44:$CE$44,'11.RESUMEN'!$D$43:$CE$43,A46)+SUMIFS('11.RESUMEN'!$D$50:$CD$50,'11.RESUMEN'!$D$49:$CD$49,A46),0)</f>
        <v>#VALUE!</v>
      </c>
    </row>
    <row r="47" spans="1:3" ht="18" x14ac:dyDescent="0.25">
      <c r="A47" s="200" t="s">
        <v>505</v>
      </c>
      <c r="B47" s="201" t="s">
        <v>506</v>
      </c>
      <c r="C47" s="202" t="e">
        <f>+ROUND(SUMIFS('11.RESUMEN'!$D$12:$CE$12,'11.RESUMEN'!$D$11:$CE$11,A47)+SUMIFS('11.RESUMEN'!$D$18:$CI$18,'11.RESUMEN'!$D$17:$CI$17,A47)+SUMIFS('11.RESUMEN'!$D$25:$CD$25,'11.RESUMEN'!$D$24:$CH$24,A47)+SUMIFS('11.RESUMEN'!$D$29:$CI$29,'11.RESUMEN'!$D$28:$CI$28,A47)+SUMIFS('11.RESUMEN'!$D$34:$CD$34,'11.RESUMEN'!$D$33:$CD$33,A47)+SUMIFS('11.RESUMEN'!$D$39:$CD$39,'11.RESUMEN'!$D$38:$CD$38,A47)+SUMIFS('11.RESUMEN'!$D$44:$CE$44,'11.RESUMEN'!$D$43:$CE$43,A47)+SUMIFS('11.RESUMEN'!$D$50:$CD$50,'11.RESUMEN'!$D$49:$CD$49,A47),0)</f>
        <v>#VALUE!</v>
      </c>
    </row>
    <row r="48" spans="1:3" ht="18" x14ac:dyDescent="0.25">
      <c r="A48" s="200" t="s">
        <v>507</v>
      </c>
      <c r="B48" s="201" t="s">
        <v>508</v>
      </c>
      <c r="C48" s="202" t="e">
        <f>+ROUND(SUMIFS('11.RESUMEN'!$D$12:$CE$12,'11.RESUMEN'!$D$11:$CE$11,A48)+SUMIFS('11.RESUMEN'!$D$18:$CI$18,'11.RESUMEN'!$D$17:$CI$17,A48)+SUMIFS('11.RESUMEN'!$D$25:$CD$25,'11.RESUMEN'!$D$24:$CH$24,A48)+SUMIFS('11.RESUMEN'!$D$29:$CI$29,'11.RESUMEN'!$D$28:$CI$28,A48)+SUMIFS('11.RESUMEN'!$D$34:$CD$34,'11.RESUMEN'!$D$33:$CD$33,A48)+SUMIFS('11.RESUMEN'!$D$39:$CD$39,'11.RESUMEN'!$D$38:$CD$38,A48)+SUMIFS('11.RESUMEN'!$D$44:$CE$44,'11.RESUMEN'!$D$43:$CE$43,A48)+SUMIFS('11.RESUMEN'!$D$50:$CD$50,'11.RESUMEN'!$D$49:$CD$49,A48),0)</f>
        <v>#VALUE!</v>
      </c>
    </row>
    <row r="49" spans="1:3" ht="18" x14ac:dyDescent="0.25">
      <c r="A49" s="200" t="s">
        <v>509</v>
      </c>
      <c r="B49" s="201" t="s">
        <v>510</v>
      </c>
      <c r="C49" s="202" t="e">
        <f>+ROUND(SUMIFS('11.RESUMEN'!$D$12:$CE$12,'11.RESUMEN'!$D$11:$CE$11,A49)+SUMIFS('11.RESUMEN'!$D$18:$CI$18,'11.RESUMEN'!$D$17:$CI$17,A49)+SUMIFS('11.RESUMEN'!$D$25:$CD$25,'11.RESUMEN'!$D$24:$CH$24,A49)+SUMIFS('11.RESUMEN'!$D$29:$CI$29,'11.RESUMEN'!$D$28:$CI$28,A49)+SUMIFS('11.RESUMEN'!$D$34:$CD$34,'11.RESUMEN'!$D$33:$CD$33,A49)+SUMIFS('11.RESUMEN'!$D$39:$CD$39,'11.RESUMEN'!$D$38:$CD$38,A49)+SUMIFS('11.RESUMEN'!$D$44:$CE$44,'11.RESUMEN'!$D$43:$CE$43,A49)+SUMIFS('11.RESUMEN'!$D$50:$CD$50,'11.RESUMEN'!$D$49:$CD$49,A49),0)</f>
        <v>#VALUE!</v>
      </c>
    </row>
    <row r="50" spans="1:3" ht="18" x14ac:dyDescent="0.25">
      <c r="A50" s="200" t="s">
        <v>511</v>
      </c>
      <c r="B50" s="201" t="s">
        <v>512</v>
      </c>
      <c r="C50" s="202" t="e">
        <f>+ROUND(SUMIFS('11.RESUMEN'!$D$12:$CE$12,'11.RESUMEN'!$D$11:$CE$11,A50)+SUMIFS('11.RESUMEN'!$D$18:$CI$18,'11.RESUMEN'!$D$17:$CI$17,A50)+SUMIFS('11.RESUMEN'!$D$25:$CD$25,'11.RESUMEN'!$D$24:$CH$24,A50)+SUMIFS('11.RESUMEN'!$D$29:$CI$29,'11.RESUMEN'!$D$28:$CI$28,A50)+SUMIFS('11.RESUMEN'!$D$34:$CD$34,'11.RESUMEN'!$D$33:$CD$33,A50)+SUMIFS('11.RESUMEN'!$D$39:$CD$39,'11.RESUMEN'!$D$38:$CD$38,A50)+SUMIFS('11.RESUMEN'!$D$44:$CE$44,'11.RESUMEN'!$D$43:$CE$43,A50)+SUMIFS('11.RESUMEN'!$D$50:$CD$50,'11.RESUMEN'!$D$49:$CD$49,A50),0)</f>
        <v>#VALUE!</v>
      </c>
    </row>
    <row r="51" spans="1:3" ht="18" x14ac:dyDescent="0.25">
      <c r="A51" s="200" t="s">
        <v>513</v>
      </c>
      <c r="B51" s="201" t="s">
        <v>514</v>
      </c>
      <c r="C51" s="202" t="e">
        <f>+ROUND(SUMIFS('11.RESUMEN'!$D$12:$CE$12,'11.RESUMEN'!$D$11:$CE$11,A51)+SUMIFS('11.RESUMEN'!$D$18:$CI$18,'11.RESUMEN'!$D$17:$CI$17,A51)+SUMIFS('11.RESUMEN'!$D$25:$CD$25,'11.RESUMEN'!$D$24:$CH$24,A51)+SUMIFS('11.RESUMEN'!$D$29:$CI$29,'11.RESUMEN'!$D$28:$CI$28,A51)+SUMIFS('11.RESUMEN'!$D$34:$CD$34,'11.RESUMEN'!$D$33:$CD$33,A51)+SUMIFS('11.RESUMEN'!$D$39:$CD$39,'11.RESUMEN'!$D$38:$CD$38,A51)+SUMIFS('11.RESUMEN'!$D$44:$CE$44,'11.RESUMEN'!$D$43:$CE$43,A51)+SUMIFS('11.RESUMEN'!$D$50:$CD$50,'11.RESUMEN'!$D$49:$CD$49,A51),0)</f>
        <v>#VALUE!</v>
      </c>
    </row>
    <row r="52" spans="1:3" ht="18" x14ac:dyDescent="0.25">
      <c r="A52" s="200" t="s">
        <v>515</v>
      </c>
      <c r="B52" s="201" t="s">
        <v>516</v>
      </c>
      <c r="C52" s="202" t="e">
        <f>+ROUND(SUMIFS('11.RESUMEN'!$D$12:$CE$12,'11.RESUMEN'!$D$11:$CE$11,A52)+SUMIFS('11.RESUMEN'!$D$18:$CI$18,'11.RESUMEN'!$D$17:$CI$17,A52)+SUMIFS('11.RESUMEN'!$D$25:$CD$25,'11.RESUMEN'!$D$24:$CH$24,A52)+SUMIFS('11.RESUMEN'!$D$29:$CI$29,'11.RESUMEN'!$D$28:$CI$28,A52)+SUMIFS('11.RESUMEN'!$D$34:$CD$34,'11.RESUMEN'!$D$33:$CD$33,A52)+SUMIFS('11.RESUMEN'!$D$39:$CD$39,'11.RESUMEN'!$D$38:$CD$38,A52)+SUMIFS('11.RESUMEN'!$D$44:$CE$44,'11.RESUMEN'!$D$43:$CE$43,A52)+SUMIFS('11.RESUMEN'!$D$50:$CD$50,'11.RESUMEN'!$D$49:$CD$49,A52),0)</f>
        <v>#VALUE!</v>
      </c>
    </row>
    <row r="53" spans="1:3" ht="18" x14ac:dyDescent="0.25">
      <c r="A53" s="200" t="s">
        <v>309</v>
      </c>
      <c r="B53" s="201" t="s">
        <v>517</v>
      </c>
      <c r="C53" s="202" t="e">
        <f>+ROUND(SUMIFS('11.RESUMEN'!$D$12:$CE$12,'11.RESUMEN'!$D$11:$CE$11,A53)+SUMIFS('11.RESUMEN'!$D$18:$CI$18,'11.RESUMEN'!$D$17:$CI$17,A53)+SUMIFS('11.RESUMEN'!$D$25:$CD$25,'11.RESUMEN'!$D$24:$CH$24,A53)+SUMIFS('11.RESUMEN'!$D$29:$CI$29,'11.RESUMEN'!$D$28:$CI$28,A53)+SUMIFS('11.RESUMEN'!$D$34:$CD$34,'11.RESUMEN'!$D$33:$CD$33,A53)+SUMIFS('11.RESUMEN'!$D$39:$CD$39,'11.RESUMEN'!$D$38:$CD$38,A53)+SUMIFS('11.RESUMEN'!$D$44:$CE$44,'11.RESUMEN'!$D$43:$CE$43,A53)+SUMIFS('11.RESUMEN'!$D$50:$CD$50,'11.RESUMEN'!$D$49:$CD$49,A53),0)</f>
        <v>#VALUE!</v>
      </c>
    </row>
    <row r="54" spans="1:3" ht="18" x14ac:dyDescent="0.25">
      <c r="A54" s="200" t="s">
        <v>518</v>
      </c>
      <c r="B54" s="201" t="s">
        <v>519</v>
      </c>
      <c r="C54" s="202" t="e">
        <f>+ROUND(SUMIFS('11.RESUMEN'!$D$12:$CE$12,'11.RESUMEN'!$D$11:$CE$11,A54)+SUMIFS('11.RESUMEN'!$D$18:$CI$18,'11.RESUMEN'!$D$17:$CI$17,A54)+SUMIFS('11.RESUMEN'!$D$25:$CD$25,'11.RESUMEN'!$D$24:$CH$24,A54)+SUMIFS('11.RESUMEN'!$D$29:$CI$29,'11.RESUMEN'!$D$28:$CI$28,A54)+SUMIFS('11.RESUMEN'!$D$34:$CD$34,'11.RESUMEN'!$D$33:$CD$33,A54)+SUMIFS('11.RESUMEN'!$D$39:$CD$39,'11.RESUMEN'!$D$38:$CD$38,A54)+SUMIFS('11.RESUMEN'!$D$44:$CE$44,'11.RESUMEN'!$D$43:$CE$43,A54)+SUMIFS('11.RESUMEN'!$D$50:$CD$50,'11.RESUMEN'!$D$49:$CD$49,A54),0)</f>
        <v>#VALUE!</v>
      </c>
    </row>
    <row r="55" spans="1:3" ht="18" x14ac:dyDescent="0.25">
      <c r="A55" s="200" t="s">
        <v>520</v>
      </c>
      <c r="B55" s="201" t="s">
        <v>521</v>
      </c>
      <c r="C55" s="202" t="e">
        <f>+ROUND(SUMIFS('11.RESUMEN'!$D$12:$CE$12,'11.RESUMEN'!$D$11:$CE$11,A55)+SUMIFS('11.RESUMEN'!$D$18:$CI$18,'11.RESUMEN'!$D$17:$CI$17,A55)+SUMIFS('11.RESUMEN'!$D$25:$CD$25,'11.RESUMEN'!$D$24:$CH$24,A55)+SUMIFS('11.RESUMEN'!$D$29:$CI$29,'11.RESUMEN'!$D$28:$CI$28,A55)+SUMIFS('11.RESUMEN'!$D$34:$CD$34,'11.RESUMEN'!$D$33:$CD$33,A55)+SUMIFS('11.RESUMEN'!$D$39:$CD$39,'11.RESUMEN'!$D$38:$CD$38,A55)+SUMIFS('11.RESUMEN'!$D$44:$CE$44,'11.RESUMEN'!$D$43:$CE$43,A55)+SUMIFS('11.RESUMEN'!$D$50:$CD$50,'11.RESUMEN'!$D$49:$CD$49,A55),0)</f>
        <v>#VALUE!</v>
      </c>
    </row>
    <row r="56" spans="1:3" ht="18" x14ac:dyDescent="0.25">
      <c r="A56" s="200" t="s">
        <v>522</v>
      </c>
      <c r="B56" s="201" t="s">
        <v>523</v>
      </c>
      <c r="C56" s="202" t="e">
        <f>+ROUND(SUMIFS('11.RESUMEN'!$D$12:$CE$12,'11.RESUMEN'!$D$11:$CE$11,A56)+SUMIFS('11.RESUMEN'!$D$18:$CI$18,'11.RESUMEN'!$D$17:$CI$17,A56)+SUMIFS('11.RESUMEN'!$D$25:$CD$25,'11.RESUMEN'!$D$24:$CH$24,A56)+SUMIFS('11.RESUMEN'!$D$29:$CI$29,'11.RESUMEN'!$D$28:$CI$28,A56)+SUMIFS('11.RESUMEN'!$D$34:$CD$34,'11.RESUMEN'!$D$33:$CD$33,A56)+SUMIFS('11.RESUMEN'!$D$39:$CD$39,'11.RESUMEN'!$D$38:$CD$38,A56)+SUMIFS('11.RESUMEN'!$D$44:$CE$44,'11.RESUMEN'!$D$43:$CE$43,A56)+SUMIFS('11.RESUMEN'!$D$50:$CD$50,'11.RESUMEN'!$D$49:$CD$49,A56),0)</f>
        <v>#VALUE!</v>
      </c>
    </row>
    <row r="57" spans="1:3" ht="18" x14ac:dyDescent="0.25">
      <c r="A57" s="200" t="s">
        <v>524</v>
      </c>
      <c r="B57" s="201" t="s">
        <v>525</v>
      </c>
      <c r="C57" s="202" t="e">
        <f>+ROUND(SUMIFS('11.RESUMEN'!$D$12:$CE$12,'11.RESUMEN'!$D$11:$CE$11,A57)+SUMIFS('11.RESUMEN'!$D$18:$CI$18,'11.RESUMEN'!$D$17:$CI$17,A57)+SUMIFS('11.RESUMEN'!$D$25:$CD$25,'11.RESUMEN'!$D$24:$CH$24,A57)+SUMIFS('11.RESUMEN'!$D$29:$CI$29,'11.RESUMEN'!$D$28:$CI$28,A57)+SUMIFS('11.RESUMEN'!$D$34:$CD$34,'11.RESUMEN'!$D$33:$CD$33,A57)+SUMIFS('11.RESUMEN'!$D$39:$CD$39,'11.RESUMEN'!$D$38:$CD$38,A57)+SUMIFS('11.RESUMEN'!$D$44:$CE$44,'11.RESUMEN'!$D$43:$CE$43,A57)+SUMIFS('11.RESUMEN'!$D$50:$CD$50,'11.RESUMEN'!$D$49:$CD$49,A57),0)</f>
        <v>#VALUE!</v>
      </c>
    </row>
    <row r="58" spans="1:3" ht="18" x14ac:dyDescent="0.25">
      <c r="A58" s="200" t="s">
        <v>526</v>
      </c>
      <c r="B58" s="201" t="s">
        <v>527</v>
      </c>
      <c r="C58" s="202" t="e">
        <f>+ROUND(SUMIFS('11.RESUMEN'!$D$12:$CE$12,'11.RESUMEN'!$D$11:$CE$11,A58)+SUMIFS('11.RESUMEN'!$D$18:$CI$18,'11.RESUMEN'!$D$17:$CI$17,A58)+SUMIFS('11.RESUMEN'!$D$25:$CD$25,'11.RESUMEN'!$D$24:$CH$24,A58)+SUMIFS('11.RESUMEN'!$D$29:$CI$29,'11.RESUMEN'!$D$28:$CI$28,A58)+SUMIFS('11.RESUMEN'!$D$34:$CD$34,'11.RESUMEN'!$D$33:$CD$33,A58)+SUMIFS('11.RESUMEN'!$D$39:$CD$39,'11.RESUMEN'!$D$38:$CD$38,A58)+SUMIFS('11.RESUMEN'!$D$44:$CE$44,'11.RESUMEN'!$D$43:$CE$43,A58)+SUMIFS('11.RESUMEN'!$D$50:$CD$50,'11.RESUMEN'!$D$49:$CD$49,A58),0)</f>
        <v>#VALUE!</v>
      </c>
    </row>
    <row r="59" spans="1:3" ht="18" x14ac:dyDescent="0.25">
      <c r="A59" s="200" t="s">
        <v>528</v>
      </c>
      <c r="B59" s="201" t="s">
        <v>529</v>
      </c>
      <c r="C59" s="202" t="e">
        <f>+ROUND(SUMIFS('11.RESUMEN'!$D$12:$CE$12,'11.RESUMEN'!$D$11:$CE$11,A59)+SUMIFS('11.RESUMEN'!$D$18:$CI$18,'11.RESUMEN'!$D$17:$CI$17,A59)+SUMIFS('11.RESUMEN'!$D$25:$CD$25,'11.RESUMEN'!$D$24:$CH$24,A59)+SUMIFS('11.RESUMEN'!$D$29:$CI$29,'11.RESUMEN'!$D$28:$CI$28,A59)+SUMIFS('11.RESUMEN'!$D$34:$CD$34,'11.RESUMEN'!$D$33:$CD$33,A59)+SUMIFS('11.RESUMEN'!$D$39:$CD$39,'11.RESUMEN'!$D$38:$CD$38,A59)+SUMIFS('11.RESUMEN'!$D$44:$CE$44,'11.RESUMEN'!$D$43:$CE$43,A59)+SUMIFS('11.RESUMEN'!$D$50:$CD$50,'11.RESUMEN'!$D$49:$CD$49,A59),0)</f>
        <v>#VALUE!</v>
      </c>
    </row>
    <row r="60" spans="1:3" ht="18" x14ac:dyDescent="0.25">
      <c r="A60" s="200" t="s">
        <v>530</v>
      </c>
      <c r="B60" s="201" t="s">
        <v>531</v>
      </c>
      <c r="C60" s="202" t="e">
        <f>+ROUND(SUMIFS('11.RESUMEN'!$D$12:$CE$12,'11.RESUMEN'!$D$11:$CE$11,A60)+SUMIFS('11.RESUMEN'!$D$18:$CI$18,'11.RESUMEN'!$D$17:$CI$17,A60)+SUMIFS('11.RESUMEN'!$D$25:$CD$25,'11.RESUMEN'!$D$24:$CH$24,A60)+SUMIFS('11.RESUMEN'!$D$29:$CI$29,'11.RESUMEN'!$D$28:$CI$28,A60)+SUMIFS('11.RESUMEN'!$D$34:$CD$34,'11.RESUMEN'!$D$33:$CD$33,A60)+SUMIFS('11.RESUMEN'!$D$39:$CD$39,'11.RESUMEN'!$D$38:$CD$38,A60)+SUMIFS('11.RESUMEN'!$D$44:$CE$44,'11.RESUMEN'!$D$43:$CE$43,A60)+SUMIFS('11.RESUMEN'!$D$50:$CD$50,'11.RESUMEN'!$D$49:$CD$49,A60),0)</f>
        <v>#VALUE!</v>
      </c>
    </row>
    <row r="61" spans="1:3" ht="18" x14ac:dyDescent="0.25">
      <c r="A61" s="200" t="s">
        <v>532</v>
      </c>
      <c r="B61" s="201" t="s">
        <v>533</v>
      </c>
      <c r="C61" s="202" t="e">
        <f>+ROUND(SUMIFS('11.RESUMEN'!$D$12:$CE$12,'11.RESUMEN'!$D$11:$CE$11,A61)+SUMIFS('11.RESUMEN'!$D$18:$CI$18,'11.RESUMEN'!$D$17:$CI$17,A61)+SUMIFS('11.RESUMEN'!$D$25:$CD$25,'11.RESUMEN'!$D$24:$CH$24,A61)+SUMIFS('11.RESUMEN'!$D$29:$CI$29,'11.RESUMEN'!$D$28:$CI$28,A61)+SUMIFS('11.RESUMEN'!$D$34:$CD$34,'11.RESUMEN'!$D$33:$CD$33,A61)+SUMIFS('11.RESUMEN'!$D$39:$CD$39,'11.RESUMEN'!$D$38:$CD$38,A61)+SUMIFS('11.RESUMEN'!$D$44:$CE$44,'11.RESUMEN'!$D$43:$CE$43,A61)+SUMIFS('11.RESUMEN'!$D$50:$CD$50,'11.RESUMEN'!$D$49:$CD$49,A61),0)</f>
        <v>#VALUE!</v>
      </c>
    </row>
    <row r="62" spans="1:3" ht="18" x14ac:dyDescent="0.25">
      <c r="A62" s="200" t="s">
        <v>534</v>
      </c>
      <c r="B62" s="201" t="s">
        <v>535</v>
      </c>
      <c r="C62" s="202" t="e">
        <f>+ROUND(SUMIFS('11.RESUMEN'!$D$12:$CE$12,'11.RESUMEN'!$D$11:$CE$11,A62)+SUMIFS('11.RESUMEN'!$D$18:$CI$18,'11.RESUMEN'!$D$17:$CI$17,A62)+SUMIFS('11.RESUMEN'!$D$25:$CD$25,'11.RESUMEN'!$D$24:$CH$24,A62)+SUMIFS('11.RESUMEN'!$D$29:$CI$29,'11.RESUMEN'!$D$28:$CI$28,A62)+SUMIFS('11.RESUMEN'!$D$34:$CD$34,'11.RESUMEN'!$D$33:$CD$33,A62)+SUMIFS('11.RESUMEN'!$D$39:$CD$39,'11.RESUMEN'!$D$38:$CD$38,A62)+SUMIFS('11.RESUMEN'!$D$44:$CE$44,'11.RESUMEN'!$D$43:$CE$43,A62)+SUMIFS('11.RESUMEN'!$D$50:$CD$50,'11.RESUMEN'!$D$49:$CD$49,A62),0)</f>
        <v>#VALUE!</v>
      </c>
    </row>
    <row r="63" spans="1:3" ht="18" x14ac:dyDescent="0.25">
      <c r="A63" s="200" t="s">
        <v>536</v>
      </c>
      <c r="B63" s="201" t="s">
        <v>537</v>
      </c>
      <c r="C63" s="202" t="e">
        <f>+ROUND(SUMIFS('11.RESUMEN'!$D$12:$CE$12,'11.RESUMEN'!$D$11:$CE$11,A63)+SUMIFS('11.RESUMEN'!$D$18:$CI$18,'11.RESUMEN'!$D$17:$CI$17,A63)+SUMIFS('11.RESUMEN'!$D$25:$CD$25,'11.RESUMEN'!$D$24:$CH$24,A63)+SUMIFS('11.RESUMEN'!$D$29:$CI$29,'11.RESUMEN'!$D$28:$CI$28,A63)+SUMIFS('11.RESUMEN'!$D$34:$CD$34,'11.RESUMEN'!$D$33:$CD$33,A63)+SUMIFS('11.RESUMEN'!$D$39:$CD$39,'11.RESUMEN'!$D$38:$CD$38,A63)+SUMIFS('11.RESUMEN'!$D$44:$CE$44,'11.RESUMEN'!$D$43:$CE$43,A63)+SUMIFS('11.RESUMEN'!$D$50:$CD$50,'11.RESUMEN'!$D$49:$CD$49,A63),0)</f>
        <v>#VALUE!</v>
      </c>
    </row>
    <row r="64" spans="1:3" ht="18" x14ac:dyDescent="0.25">
      <c r="A64" s="200" t="s">
        <v>538</v>
      </c>
      <c r="B64" s="201" t="s">
        <v>539</v>
      </c>
      <c r="C64" s="202" t="e">
        <f>+ROUND(SUMIFS('11.RESUMEN'!$D$12:$CE$12,'11.RESUMEN'!$D$11:$CE$11,A64)+SUMIFS('11.RESUMEN'!$D$18:$CI$18,'11.RESUMEN'!$D$17:$CI$17,A64)+SUMIFS('11.RESUMEN'!$D$25:$CD$25,'11.RESUMEN'!$D$24:$CH$24,A64)+SUMIFS('11.RESUMEN'!$D$29:$CI$29,'11.RESUMEN'!$D$28:$CI$28,A64)+SUMIFS('11.RESUMEN'!$D$34:$CD$34,'11.RESUMEN'!$D$33:$CD$33,A64)+SUMIFS('11.RESUMEN'!$D$39:$CD$39,'11.RESUMEN'!$D$38:$CD$38,A64)+SUMIFS('11.RESUMEN'!$D$44:$CE$44,'11.RESUMEN'!$D$43:$CE$43,A64)+SUMIFS('11.RESUMEN'!$D$50:$CD$50,'11.RESUMEN'!$D$49:$CD$49,A64),0)</f>
        <v>#VALUE!</v>
      </c>
    </row>
    <row r="65" spans="1:3" ht="18" x14ac:dyDescent="0.25">
      <c r="A65" s="200" t="s">
        <v>540</v>
      </c>
      <c r="B65" s="201" t="s">
        <v>541</v>
      </c>
      <c r="C65" s="202" t="e">
        <f>+ROUND(SUMIFS('11.RESUMEN'!$D$12:$CE$12,'11.RESUMEN'!$D$11:$CE$11,A65)+SUMIFS('11.RESUMEN'!$D$18:$CI$18,'11.RESUMEN'!$D$17:$CI$17,A65)+SUMIFS('11.RESUMEN'!$D$25:$CD$25,'11.RESUMEN'!$D$24:$CH$24,A65)+SUMIFS('11.RESUMEN'!$D$29:$CI$29,'11.RESUMEN'!$D$28:$CI$28,A65)+SUMIFS('11.RESUMEN'!$D$34:$CD$34,'11.RESUMEN'!$D$33:$CD$33,A65)+SUMIFS('11.RESUMEN'!$D$39:$CD$39,'11.RESUMEN'!$D$38:$CD$38,A65)+SUMIFS('11.RESUMEN'!$D$44:$CE$44,'11.RESUMEN'!$D$43:$CE$43,A65)+SUMIFS('11.RESUMEN'!$D$50:$CD$50,'11.RESUMEN'!$D$49:$CD$49,A65),0)</f>
        <v>#VALUE!</v>
      </c>
    </row>
    <row r="66" spans="1:3" ht="18" x14ac:dyDescent="0.25">
      <c r="A66" s="200" t="s">
        <v>542</v>
      </c>
      <c r="B66" s="201" t="s">
        <v>543</v>
      </c>
      <c r="C66" s="202" t="e">
        <f>+ROUND(SUMIFS('11.RESUMEN'!$D$12:$CE$12,'11.RESUMEN'!$D$11:$CE$11,A66)+SUMIFS('11.RESUMEN'!$D$18:$CI$18,'11.RESUMEN'!$D$17:$CI$17,A66)+SUMIFS('11.RESUMEN'!$D$25:$CD$25,'11.RESUMEN'!$D$24:$CH$24,A66)+SUMIFS('11.RESUMEN'!$D$29:$CI$29,'11.RESUMEN'!$D$28:$CI$28,A66)+SUMIFS('11.RESUMEN'!$D$34:$CD$34,'11.RESUMEN'!$D$33:$CD$33,A66)+SUMIFS('11.RESUMEN'!$D$39:$CD$39,'11.RESUMEN'!$D$38:$CD$38,A66)+SUMIFS('11.RESUMEN'!$D$44:$CE$44,'11.RESUMEN'!$D$43:$CE$43,A66)+SUMIFS('11.RESUMEN'!$D$50:$CD$50,'11.RESUMEN'!$D$49:$CD$49,A66),0)</f>
        <v>#VALUE!</v>
      </c>
    </row>
    <row r="67" spans="1:3" ht="36" x14ac:dyDescent="0.25">
      <c r="A67" s="200" t="s">
        <v>544</v>
      </c>
      <c r="B67" s="201" t="s">
        <v>545</v>
      </c>
      <c r="C67" s="202" t="e">
        <f>+ROUND(SUMIFS('11.RESUMEN'!$D$12:$CE$12,'11.RESUMEN'!$D$11:$CE$11,A67)+SUMIFS('11.RESUMEN'!$D$18:$CI$18,'11.RESUMEN'!$D$17:$CI$17,A67)+SUMIFS('11.RESUMEN'!$D$25:$CD$25,'11.RESUMEN'!$D$24:$CH$24,A67)+SUMIFS('11.RESUMEN'!$D$29:$CI$29,'11.RESUMEN'!$D$28:$CI$28,A67)+SUMIFS('11.RESUMEN'!$D$34:$CD$34,'11.RESUMEN'!$D$33:$CD$33,A67)+SUMIFS('11.RESUMEN'!$D$39:$CD$39,'11.RESUMEN'!$D$38:$CD$38,A67)+SUMIFS('11.RESUMEN'!$D$44:$CE$44,'11.RESUMEN'!$D$43:$CE$43,A67)+SUMIFS('11.RESUMEN'!$D$50:$CD$50,'11.RESUMEN'!$D$49:$CD$49,A67),0)</f>
        <v>#VALUE!</v>
      </c>
    </row>
    <row r="68" spans="1:3" ht="18" x14ac:dyDescent="0.25">
      <c r="A68" s="200" t="s">
        <v>546</v>
      </c>
      <c r="B68" s="201" t="s">
        <v>547</v>
      </c>
      <c r="C68" s="202" t="e">
        <f>+ROUND(SUMIFS('11.RESUMEN'!$D$12:$CE$12,'11.RESUMEN'!$D$11:$CE$11,A68)+SUMIFS('11.RESUMEN'!$D$18:$CI$18,'11.RESUMEN'!$D$17:$CI$17,A68)+SUMIFS('11.RESUMEN'!$D$25:$CD$25,'11.RESUMEN'!$D$24:$CH$24,A68)+SUMIFS('11.RESUMEN'!$D$29:$CI$29,'11.RESUMEN'!$D$28:$CI$28,A68)+SUMIFS('11.RESUMEN'!$D$34:$CD$34,'11.RESUMEN'!$D$33:$CD$33,A68)+SUMIFS('11.RESUMEN'!$D$39:$CD$39,'11.RESUMEN'!$D$38:$CD$38,A68)+SUMIFS('11.RESUMEN'!$D$44:$CE$44,'11.RESUMEN'!$D$43:$CE$43,A68)+SUMIFS('11.RESUMEN'!$D$50:$CD$50,'11.RESUMEN'!$D$49:$CD$49,A68),0)</f>
        <v>#VALUE!</v>
      </c>
    </row>
    <row r="69" spans="1:3" ht="18" x14ac:dyDescent="0.25">
      <c r="A69" s="200" t="s">
        <v>548</v>
      </c>
      <c r="B69" s="201" t="s">
        <v>549</v>
      </c>
      <c r="C69" s="202" t="e">
        <f>+ROUND(SUMIFS('11.RESUMEN'!$D$12:$CE$12,'11.RESUMEN'!$D$11:$CE$11,A69)+SUMIFS('11.RESUMEN'!$D$18:$CI$18,'11.RESUMEN'!$D$17:$CI$17,A69)+SUMIFS('11.RESUMEN'!$D$25:$CD$25,'11.RESUMEN'!$D$24:$CH$24,A69)+SUMIFS('11.RESUMEN'!$D$29:$CI$29,'11.RESUMEN'!$D$28:$CI$28,A69)+SUMIFS('11.RESUMEN'!$D$34:$CD$34,'11.RESUMEN'!$D$33:$CD$33,A69)+SUMIFS('11.RESUMEN'!$D$39:$CD$39,'11.RESUMEN'!$D$38:$CD$38,A69)+SUMIFS('11.RESUMEN'!$D$44:$CE$44,'11.RESUMEN'!$D$43:$CE$43,A69)+SUMIFS('11.RESUMEN'!$D$50:$CD$50,'11.RESUMEN'!$D$49:$CD$49,A69),0)</f>
        <v>#VALUE!</v>
      </c>
    </row>
    <row r="70" spans="1:3" ht="18" x14ac:dyDescent="0.25">
      <c r="A70" s="200" t="s">
        <v>550</v>
      </c>
      <c r="B70" s="201" t="s">
        <v>551</v>
      </c>
      <c r="C70" s="202" t="e">
        <f>+ROUND(SUMIFS('11.RESUMEN'!$D$12:$CE$12,'11.RESUMEN'!$D$11:$CE$11,A70)+SUMIFS('11.RESUMEN'!$D$18:$CI$18,'11.RESUMEN'!$D$17:$CI$17,A70)+SUMIFS('11.RESUMEN'!$D$25:$CD$25,'11.RESUMEN'!$D$24:$CH$24,A70)+SUMIFS('11.RESUMEN'!$D$29:$CI$29,'11.RESUMEN'!$D$28:$CI$28,A70)+SUMIFS('11.RESUMEN'!$D$34:$CD$34,'11.RESUMEN'!$D$33:$CD$33,A70)+SUMIFS('11.RESUMEN'!$D$39:$CD$39,'11.RESUMEN'!$D$38:$CD$38,A70)+SUMIFS('11.RESUMEN'!$D$44:$CE$44,'11.RESUMEN'!$D$43:$CE$43,A70)+SUMIFS('11.RESUMEN'!$D$50:$CD$50,'11.RESUMEN'!$D$49:$CD$49,A70),0)</f>
        <v>#VALUE!</v>
      </c>
    </row>
    <row r="71" spans="1:3" ht="18" x14ac:dyDescent="0.25">
      <c r="A71" s="200" t="s">
        <v>552</v>
      </c>
      <c r="B71" s="201" t="s">
        <v>553</v>
      </c>
      <c r="C71" s="202" t="e">
        <f>+ROUND(SUMIFS('11.RESUMEN'!$D$12:$CE$12,'11.RESUMEN'!$D$11:$CE$11,A71)+SUMIFS('11.RESUMEN'!$D$18:$CI$18,'11.RESUMEN'!$D$17:$CI$17,A71)+SUMIFS('11.RESUMEN'!$D$25:$CD$25,'11.RESUMEN'!$D$24:$CH$24,A71)+SUMIFS('11.RESUMEN'!$D$29:$CI$29,'11.RESUMEN'!$D$28:$CI$28,A71)+SUMIFS('11.RESUMEN'!$D$34:$CD$34,'11.RESUMEN'!$D$33:$CD$33,A71)+SUMIFS('11.RESUMEN'!$D$39:$CD$39,'11.RESUMEN'!$D$38:$CD$38,A71)+SUMIFS('11.RESUMEN'!$D$44:$CE$44,'11.RESUMEN'!$D$43:$CE$43,A71)+SUMIFS('11.RESUMEN'!$D$50:$CD$50,'11.RESUMEN'!$D$49:$CD$49,A71),0)</f>
        <v>#VALUE!</v>
      </c>
    </row>
    <row r="72" spans="1:3" ht="18" x14ac:dyDescent="0.25">
      <c r="A72" s="200" t="s">
        <v>554</v>
      </c>
      <c r="B72" s="201" t="s">
        <v>555</v>
      </c>
      <c r="C72" s="202" t="e">
        <f>+ROUND(SUMIFS('11.RESUMEN'!$D$12:$CE$12,'11.RESUMEN'!$D$11:$CE$11,A72)+SUMIFS('11.RESUMEN'!$D$18:$CI$18,'11.RESUMEN'!$D$17:$CI$17,A72)+SUMIFS('11.RESUMEN'!$D$25:$CD$25,'11.RESUMEN'!$D$24:$CH$24,A72)+SUMIFS('11.RESUMEN'!$D$29:$CI$29,'11.RESUMEN'!$D$28:$CI$28,A72)+SUMIFS('11.RESUMEN'!$D$34:$CD$34,'11.RESUMEN'!$D$33:$CD$33,A72)+SUMIFS('11.RESUMEN'!$D$39:$CD$39,'11.RESUMEN'!$D$38:$CD$38,A72)+SUMIFS('11.RESUMEN'!$D$44:$CE$44,'11.RESUMEN'!$D$43:$CE$43,A72)+SUMIFS('11.RESUMEN'!$D$50:$CD$50,'11.RESUMEN'!$D$49:$CD$49,A72),0)</f>
        <v>#VALUE!</v>
      </c>
    </row>
    <row r="73" spans="1:3" ht="18" x14ac:dyDescent="0.25">
      <c r="A73" s="200" t="s">
        <v>556</v>
      </c>
      <c r="B73" s="201" t="s">
        <v>557</v>
      </c>
      <c r="C73" s="202" t="e">
        <f>+ROUND(SUMIFS('11.RESUMEN'!$D$12:$CE$12,'11.RESUMEN'!$D$11:$CE$11,A73)+SUMIFS('11.RESUMEN'!$D$18:$CI$18,'11.RESUMEN'!$D$17:$CI$17,A73)+SUMIFS('11.RESUMEN'!$D$25:$CD$25,'11.RESUMEN'!$D$24:$CH$24,A73)+SUMIFS('11.RESUMEN'!$D$29:$CI$29,'11.RESUMEN'!$D$28:$CI$28,A73)+SUMIFS('11.RESUMEN'!$D$34:$CD$34,'11.RESUMEN'!$D$33:$CD$33,A73)+SUMIFS('11.RESUMEN'!$D$39:$CD$39,'11.RESUMEN'!$D$38:$CD$38,A73)+SUMIFS('11.RESUMEN'!$D$44:$CE$44,'11.RESUMEN'!$D$43:$CE$43,A73)+SUMIFS('11.RESUMEN'!$D$50:$CD$50,'11.RESUMEN'!$D$49:$CD$49,A73),0)</f>
        <v>#VALUE!</v>
      </c>
    </row>
    <row r="74" spans="1:3" ht="36" x14ac:dyDescent="0.25">
      <c r="A74" s="200" t="s">
        <v>558</v>
      </c>
      <c r="B74" s="201" t="s">
        <v>559</v>
      </c>
      <c r="C74" s="202" t="e">
        <f>+ROUND(SUMIFS('11.RESUMEN'!$D$12:$CE$12,'11.RESUMEN'!$D$11:$CE$11,A74)+SUMIFS('11.RESUMEN'!$D$18:$CI$18,'11.RESUMEN'!$D$17:$CI$17,A74)+SUMIFS('11.RESUMEN'!$D$25:$CD$25,'11.RESUMEN'!$D$24:$CH$24,A74)+SUMIFS('11.RESUMEN'!$D$29:$CI$29,'11.RESUMEN'!$D$28:$CI$28,A74)+SUMIFS('11.RESUMEN'!$D$34:$CD$34,'11.RESUMEN'!$D$33:$CD$33,A74)+SUMIFS('11.RESUMEN'!$D$39:$CD$39,'11.RESUMEN'!$D$38:$CD$38,A74)+SUMIFS('11.RESUMEN'!$D$44:$CE$44,'11.RESUMEN'!$D$43:$CE$43,A74)+SUMIFS('11.RESUMEN'!$D$50:$CD$50,'11.RESUMEN'!$D$49:$CD$49,A74),0)</f>
        <v>#VALUE!</v>
      </c>
    </row>
    <row r="75" spans="1:3" ht="18" x14ac:dyDescent="0.25">
      <c r="A75" s="200" t="s">
        <v>308</v>
      </c>
      <c r="B75" s="201" t="s">
        <v>560</v>
      </c>
      <c r="C75" s="202" t="e">
        <f>+ROUND(SUMIFS('11.RESUMEN'!$D$12:$CE$12,'11.RESUMEN'!$D$11:$CE$11,A75)+SUMIFS('11.RESUMEN'!$D$18:$CI$18,'11.RESUMEN'!$D$17:$CI$17,A75)+SUMIFS('11.RESUMEN'!$D$25:$CD$25,'11.RESUMEN'!$D$24:$CH$24,A75)+SUMIFS('11.RESUMEN'!$D$29:$CI$29,'11.RESUMEN'!$D$28:$CI$28,A75)+SUMIFS('11.RESUMEN'!$D$34:$CD$34,'11.RESUMEN'!$D$33:$CD$33,A75)+SUMIFS('11.RESUMEN'!$D$39:$CD$39,'11.RESUMEN'!$D$38:$CD$38,A75)+SUMIFS('11.RESUMEN'!$D$44:$CE$44,'11.RESUMEN'!$D$43:$CE$43,A75)+SUMIFS('11.RESUMEN'!$D$50:$CD$50,'11.RESUMEN'!$D$49:$CD$49,A75),0)</f>
        <v>#VALUE!</v>
      </c>
    </row>
    <row r="76" spans="1:3" ht="36" x14ac:dyDescent="0.25">
      <c r="A76" s="200" t="s">
        <v>561</v>
      </c>
      <c r="B76" s="201" t="s">
        <v>562</v>
      </c>
      <c r="C76" s="202" t="e">
        <f>+ROUND(SUMIFS('11.RESUMEN'!$D$12:$CE$12,'11.RESUMEN'!$D$11:$CE$11,A76)+SUMIFS('11.RESUMEN'!$D$18:$CI$18,'11.RESUMEN'!$D$17:$CI$17,A76)+SUMIFS('11.RESUMEN'!$D$25:$CD$25,'11.RESUMEN'!$D$24:$CH$24,A76)+SUMIFS('11.RESUMEN'!$D$29:$CI$29,'11.RESUMEN'!$D$28:$CI$28,A76)+SUMIFS('11.RESUMEN'!$D$34:$CD$34,'11.RESUMEN'!$D$33:$CD$33,A76)+SUMIFS('11.RESUMEN'!$D$39:$CD$39,'11.RESUMEN'!$D$38:$CD$38,A76)+SUMIFS('11.RESUMEN'!$D$44:$CE$44,'11.RESUMEN'!$D$43:$CE$43,A76)+SUMIFS('11.RESUMEN'!$D$50:$CD$50,'11.RESUMEN'!$D$49:$CD$49,A76),0)</f>
        <v>#VALUE!</v>
      </c>
    </row>
    <row r="77" spans="1:3" ht="18" x14ac:dyDescent="0.25">
      <c r="A77" s="200" t="s">
        <v>563</v>
      </c>
      <c r="B77" s="201" t="s">
        <v>564</v>
      </c>
      <c r="C77" s="202" t="e">
        <f>+ROUND(SUMIFS('11.RESUMEN'!$D$12:$CE$12,'11.RESUMEN'!$D$11:$CE$11,A77)+SUMIFS('11.RESUMEN'!$D$18:$CI$18,'11.RESUMEN'!$D$17:$CI$17,A77)+SUMIFS('11.RESUMEN'!$D$25:$CD$25,'11.RESUMEN'!$D$24:$CH$24,A77)+SUMIFS('11.RESUMEN'!$D$29:$CI$29,'11.RESUMEN'!$D$28:$CI$28,A77)+SUMIFS('11.RESUMEN'!$D$34:$CD$34,'11.RESUMEN'!$D$33:$CD$33,A77)+SUMIFS('11.RESUMEN'!$D$39:$CD$39,'11.RESUMEN'!$D$38:$CD$38,A77)+SUMIFS('11.RESUMEN'!$D$44:$CE$44,'11.RESUMEN'!$D$43:$CE$43,A77)+SUMIFS('11.RESUMEN'!$D$50:$CD$50,'11.RESUMEN'!$D$49:$CD$49,A77),0)</f>
        <v>#VALUE!</v>
      </c>
    </row>
    <row r="78" spans="1:3" ht="18" x14ac:dyDescent="0.25">
      <c r="A78" s="200" t="s">
        <v>565</v>
      </c>
      <c r="B78" s="201" t="s">
        <v>566</v>
      </c>
      <c r="C78" s="202" t="e">
        <f>+ROUND(SUMIFS('11.RESUMEN'!$D$12:$CE$12,'11.RESUMEN'!$D$11:$CE$11,A78)+SUMIFS('11.RESUMEN'!$D$18:$CI$18,'11.RESUMEN'!$D$17:$CI$17,A78)+SUMIFS('11.RESUMEN'!$D$25:$CD$25,'11.RESUMEN'!$D$24:$CH$24,A78)+SUMIFS('11.RESUMEN'!$D$29:$CI$29,'11.RESUMEN'!$D$28:$CI$28,A78)+SUMIFS('11.RESUMEN'!$D$34:$CD$34,'11.RESUMEN'!$D$33:$CD$33,A78)+SUMIFS('11.RESUMEN'!$D$39:$CD$39,'11.RESUMEN'!$D$38:$CD$38,A78)+SUMIFS('11.RESUMEN'!$D$44:$CE$44,'11.RESUMEN'!$D$43:$CE$43,A78)+SUMIFS('11.RESUMEN'!$D$50:$CD$50,'11.RESUMEN'!$D$49:$CD$49,A78),0)</f>
        <v>#VALUE!</v>
      </c>
    </row>
    <row r="79" spans="1:3" ht="18" x14ac:dyDescent="0.25">
      <c r="A79" s="200" t="s">
        <v>567</v>
      </c>
      <c r="B79" s="201" t="s">
        <v>568</v>
      </c>
      <c r="C79" s="202" t="e">
        <f>+ROUND(SUMIFS('11.RESUMEN'!$D$12:$CE$12,'11.RESUMEN'!$D$11:$CE$11,A79)+SUMIFS('11.RESUMEN'!$D$18:$CI$18,'11.RESUMEN'!$D$17:$CI$17,A79)+SUMIFS('11.RESUMEN'!$D$25:$CD$25,'11.RESUMEN'!$D$24:$CH$24,A79)+SUMIFS('11.RESUMEN'!$D$29:$CI$29,'11.RESUMEN'!$D$28:$CI$28,A79)+SUMIFS('11.RESUMEN'!$D$34:$CD$34,'11.RESUMEN'!$D$33:$CD$33,A79)+SUMIFS('11.RESUMEN'!$D$39:$CD$39,'11.RESUMEN'!$D$38:$CD$38,A79)+SUMIFS('11.RESUMEN'!$D$44:$CE$44,'11.RESUMEN'!$D$43:$CE$43,A79)+SUMIFS('11.RESUMEN'!$D$50:$CD$50,'11.RESUMEN'!$D$49:$CD$49,A79),0)</f>
        <v>#VALUE!</v>
      </c>
    </row>
    <row r="80" spans="1:3" ht="18" x14ac:dyDescent="0.25">
      <c r="A80" s="200" t="s">
        <v>569</v>
      </c>
      <c r="B80" s="201" t="s">
        <v>570</v>
      </c>
      <c r="C80" s="202" t="e">
        <f>+ROUND(SUMIFS('11.RESUMEN'!$D$12:$CE$12,'11.RESUMEN'!$D$11:$CE$11,A80)+SUMIFS('11.RESUMEN'!$D$18:$CI$18,'11.RESUMEN'!$D$17:$CI$17,A80)+SUMIFS('11.RESUMEN'!$D$25:$CD$25,'11.RESUMEN'!$D$24:$CH$24,A80)+SUMIFS('11.RESUMEN'!$D$29:$CI$29,'11.RESUMEN'!$D$28:$CI$28,A80)+SUMIFS('11.RESUMEN'!$D$34:$CD$34,'11.RESUMEN'!$D$33:$CD$33,A80)+SUMIFS('11.RESUMEN'!$D$39:$CD$39,'11.RESUMEN'!$D$38:$CD$38,A80)+SUMIFS('11.RESUMEN'!$D$44:$CE$44,'11.RESUMEN'!$D$43:$CE$43,A80)+SUMIFS('11.RESUMEN'!$D$50:$CD$50,'11.RESUMEN'!$D$49:$CD$49,A80),0)</f>
        <v>#VALUE!</v>
      </c>
    </row>
    <row r="81" spans="1:3" ht="18" x14ac:dyDescent="0.25">
      <c r="A81" s="200" t="s">
        <v>571</v>
      </c>
      <c r="B81" s="201" t="s">
        <v>572</v>
      </c>
      <c r="C81" s="202" t="e">
        <f>+ROUND(SUMIFS('11.RESUMEN'!$D$12:$CE$12,'11.RESUMEN'!$D$11:$CE$11,A81)+SUMIFS('11.RESUMEN'!$D$18:$CI$18,'11.RESUMEN'!$D$17:$CI$17,A81)+SUMIFS('11.RESUMEN'!$D$25:$CD$25,'11.RESUMEN'!$D$24:$CH$24,A81)+SUMIFS('11.RESUMEN'!$D$29:$CI$29,'11.RESUMEN'!$D$28:$CI$28,A81)+SUMIFS('11.RESUMEN'!$D$34:$CD$34,'11.RESUMEN'!$D$33:$CD$33,A81)+SUMIFS('11.RESUMEN'!$D$39:$CD$39,'11.RESUMEN'!$D$38:$CD$38,A81)+SUMIFS('11.RESUMEN'!$D$44:$CE$44,'11.RESUMEN'!$D$43:$CE$43,A81)+SUMIFS('11.RESUMEN'!$D$50:$CD$50,'11.RESUMEN'!$D$49:$CD$49,A81),0)</f>
        <v>#VALUE!</v>
      </c>
    </row>
    <row r="82" spans="1:3" ht="18" x14ac:dyDescent="0.25">
      <c r="A82" s="197" t="s">
        <v>573</v>
      </c>
      <c r="B82" s="198" t="s">
        <v>574</v>
      </c>
      <c r="C82" s="199" t="e">
        <f>SUM(C83:C124)</f>
        <v>#VALUE!</v>
      </c>
    </row>
    <row r="83" spans="1:3" ht="36" x14ac:dyDescent="0.25">
      <c r="A83" s="200" t="s">
        <v>575</v>
      </c>
      <c r="B83" s="201" t="s">
        <v>576</v>
      </c>
      <c r="C83" s="202" t="e">
        <f>+ROUND(SUMIFS('11.RESUMEN'!$D$12:$CE$12,'11.RESUMEN'!$D$11:$CE$11,A83)+SUMIFS('11.RESUMEN'!$D$18:$CI$18,'11.RESUMEN'!$D$17:$CI$17,A83)+SUMIFS('11.RESUMEN'!$D$25:$CD$25,'11.RESUMEN'!$D$24:$CH$24,A83)+SUMIFS('11.RESUMEN'!$D$29:$CI$29,'11.RESUMEN'!$D$28:$CI$28,A83)+SUMIFS('11.RESUMEN'!$D$34:$CD$34,'11.RESUMEN'!$D$33:$CD$33,A83)+SUMIFS('11.RESUMEN'!$D$39:$CD$39,'11.RESUMEN'!$D$38:$CD$38,A83)+SUMIFS('11.RESUMEN'!$D$44:$CE$44,'11.RESUMEN'!$D$43:$CE$43,A83)+SUMIFS('11.RESUMEN'!$D$50:$CD$50,'11.RESUMEN'!$D$49:$CD$49,A83),0)</f>
        <v>#VALUE!</v>
      </c>
    </row>
    <row r="84" spans="1:3" ht="18" x14ac:dyDescent="0.25">
      <c r="A84" s="200" t="s">
        <v>577</v>
      </c>
      <c r="B84" s="201" t="s">
        <v>578</v>
      </c>
      <c r="C84" s="202" t="e">
        <f>+ROUND(SUMIFS('11.RESUMEN'!$D$12:$CE$12,'11.RESUMEN'!$D$11:$CE$11,A84)+SUMIFS('11.RESUMEN'!$D$18:$CI$18,'11.RESUMEN'!$D$17:$CI$17,A84)+SUMIFS('11.RESUMEN'!$D$25:$CD$25,'11.RESUMEN'!$D$24:$CH$24,A84)+SUMIFS('11.RESUMEN'!$D$29:$CI$29,'11.RESUMEN'!$D$28:$CI$28,A84)+SUMIFS('11.RESUMEN'!$D$34:$CD$34,'11.RESUMEN'!$D$33:$CD$33,A84)+SUMIFS('11.RESUMEN'!$D$39:$CD$39,'11.RESUMEN'!$D$38:$CD$38,A84)+SUMIFS('11.RESUMEN'!$D$44:$CE$44,'11.RESUMEN'!$D$43:$CE$43,A84)+SUMIFS('11.RESUMEN'!$D$50:$CD$50,'11.RESUMEN'!$D$49:$CD$49,A84),0)</f>
        <v>#VALUE!</v>
      </c>
    </row>
    <row r="85" spans="1:3" ht="18" x14ac:dyDescent="0.25">
      <c r="A85" s="200" t="s">
        <v>579</v>
      </c>
      <c r="B85" s="201" t="s">
        <v>580</v>
      </c>
      <c r="C85" s="202" t="e">
        <f>+ROUND(SUMIFS('11.RESUMEN'!$D$12:$CE$12,'11.RESUMEN'!$D$11:$CE$11,A85)+SUMIFS('11.RESUMEN'!$D$18:$CI$18,'11.RESUMEN'!$D$17:$CI$17,A85)+SUMIFS('11.RESUMEN'!$D$25:$CD$25,'11.RESUMEN'!$D$24:$CH$24,A85)+SUMIFS('11.RESUMEN'!$D$29:$CI$29,'11.RESUMEN'!$D$28:$CI$28,A85)+SUMIFS('11.RESUMEN'!$D$34:$CD$34,'11.RESUMEN'!$D$33:$CD$33,A85)+SUMIFS('11.RESUMEN'!$D$39:$CD$39,'11.RESUMEN'!$D$38:$CD$38,A85)+SUMIFS('11.RESUMEN'!$D$44:$CE$44,'11.RESUMEN'!$D$43:$CE$43,A85)+SUMIFS('11.RESUMEN'!$D$50:$CD$50,'11.RESUMEN'!$D$49:$CD$49,A85),0)</f>
        <v>#VALUE!</v>
      </c>
    </row>
    <row r="86" spans="1:3" ht="18" x14ac:dyDescent="0.25">
      <c r="A86" s="200" t="s">
        <v>581</v>
      </c>
      <c r="B86" s="201" t="s">
        <v>582</v>
      </c>
      <c r="C86" s="202" t="e">
        <f>+ROUND(SUMIFS('11.RESUMEN'!$D$12:$CE$12,'11.RESUMEN'!$D$11:$CE$11,A86)+SUMIFS('11.RESUMEN'!$D$18:$CI$18,'11.RESUMEN'!$D$17:$CI$17,A86)+SUMIFS('11.RESUMEN'!$D$25:$CD$25,'11.RESUMEN'!$D$24:$CH$24,A86)+SUMIFS('11.RESUMEN'!$D$29:$CI$29,'11.RESUMEN'!$D$28:$CI$28,A86)+SUMIFS('11.RESUMEN'!$D$34:$CD$34,'11.RESUMEN'!$D$33:$CD$33,A86)+SUMIFS('11.RESUMEN'!$D$39:$CD$39,'11.RESUMEN'!$D$38:$CD$38,A86)+SUMIFS('11.RESUMEN'!$D$44:$CE$44,'11.RESUMEN'!$D$43:$CE$43,A86)+SUMIFS('11.RESUMEN'!$D$50:$CD$50,'11.RESUMEN'!$D$49:$CD$49,A86),0)</f>
        <v>#VALUE!</v>
      </c>
    </row>
    <row r="87" spans="1:3" ht="18" x14ac:dyDescent="0.25">
      <c r="A87" s="200" t="s">
        <v>583</v>
      </c>
      <c r="B87" s="201" t="s">
        <v>584</v>
      </c>
      <c r="C87" s="202" t="e">
        <f>+ROUND(SUMIFS('11.RESUMEN'!$D$12:$CE$12,'11.RESUMEN'!$D$11:$CE$11,A87)+SUMIFS('11.RESUMEN'!$D$18:$CI$18,'11.RESUMEN'!$D$17:$CI$17,A87)+SUMIFS('11.RESUMEN'!$D$25:$CD$25,'11.RESUMEN'!$D$24:$CH$24,A87)+SUMIFS('11.RESUMEN'!$D$29:$CI$29,'11.RESUMEN'!$D$28:$CI$28,A87)+SUMIFS('11.RESUMEN'!$D$34:$CD$34,'11.RESUMEN'!$D$33:$CD$33,A87)+SUMIFS('11.RESUMEN'!$D$39:$CD$39,'11.RESUMEN'!$D$38:$CD$38,A87)+SUMIFS('11.RESUMEN'!$D$44:$CE$44,'11.RESUMEN'!$D$43:$CE$43,A87)+SUMIFS('11.RESUMEN'!$D$50:$CD$50,'11.RESUMEN'!$D$49:$CD$49,A87),0)</f>
        <v>#VALUE!</v>
      </c>
    </row>
    <row r="88" spans="1:3" ht="18" x14ac:dyDescent="0.25">
      <c r="A88" s="200" t="s">
        <v>305</v>
      </c>
      <c r="B88" s="201" t="s">
        <v>585</v>
      </c>
      <c r="C88" s="202" t="e">
        <f>+ROUND(SUMIFS('11.RESUMEN'!$D$12:$CE$12,'11.RESUMEN'!$D$11:$CE$11,A88)+SUMIFS('11.RESUMEN'!$D$18:$CI$18,'11.RESUMEN'!$D$17:$CI$17,A88)+SUMIFS('11.RESUMEN'!$D$25:$CD$25,'11.RESUMEN'!$D$24:$CH$24,A88)+SUMIFS('11.RESUMEN'!$D$29:$CI$29,'11.RESUMEN'!$D$28:$CI$28,A88)+SUMIFS('11.RESUMEN'!$D$34:$CD$34,'11.RESUMEN'!$D$33:$CD$33,A88)+SUMIFS('11.RESUMEN'!$D$39:$CD$39,'11.RESUMEN'!$D$38:$CD$38,A88)+SUMIFS('11.RESUMEN'!$D$44:$CE$44,'11.RESUMEN'!$D$43:$CE$43,A88)+SUMIFS('11.RESUMEN'!$D$50:$CD$50,'11.RESUMEN'!$D$49:$CD$49,A88),0)</f>
        <v>#VALUE!</v>
      </c>
    </row>
    <row r="89" spans="1:3" ht="18" x14ac:dyDescent="0.25">
      <c r="A89" s="200" t="s">
        <v>586</v>
      </c>
      <c r="B89" s="201" t="s">
        <v>587</v>
      </c>
      <c r="C89" s="202" t="e">
        <f>+ROUND(SUMIFS('11.RESUMEN'!$D$12:$CE$12,'11.RESUMEN'!$D$11:$CE$11,A89)+SUMIFS('11.RESUMEN'!$D$18:$CI$18,'11.RESUMEN'!$D$17:$CI$17,A89)+SUMIFS('11.RESUMEN'!$D$25:$CD$25,'11.RESUMEN'!$D$24:$CH$24,A89)+SUMIFS('11.RESUMEN'!$D$29:$CI$29,'11.RESUMEN'!$D$28:$CI$28,A89)+SUMIFS('11.RESUMEN'!$D$34:$CD$34,'11.RESUMEN'!$D$33:$CD$33,A89)+SUMIFS('11.RESUMEN'!$D$39:$CD$39,'11.RESUMEN'!$D$38:$CD$38,A89)+SUMIFS('11.RESUMEN'!$D$44:$CE$44,'11.RESUMEN'!$D$43:$CE$43,A89)+SUMIFS('11.RESUMEN'!$D$50:$CD$50,'11.RESUMEN'!$D$49:$CD$49,A89),0)</f>
        <v>#VALUE!</v>
      </c>
    </row>
    <row r="90" spans="1:3" ht="18" x14ac:dyDescent="0.25">
      <c r="A90" s="200" t="s">
        <v>312</v>
      </c>
      <c r="B90" s="201" t="s">
        <v>588</v>
      </c>
      <c r="C90" s="202" t="e">
        <f>+ROUND(SUMIFS('11.RESUMEN'!$D$12:$CE$12,'11.RESUMEN'!$D$11:$CE$11,A90)+SUMIFS('11.RESUMEN'!$D$18:$CI$18,'11.RESUMEN'!$D$17:$CI$17,A90)+SUMIFS('11.RESUMEN'!$D$25:$CD$25,'11.RESUMEN'!$D$24:$CH$24,A90)+SUMIFS('11.RESUMEN'!$D$29:$CI$29,'11.RESUMEN'!$D$28:$CI$28,A90)+SUMIFS('11.RESUMEN'!$D$34:$CD$34,'11.RESUMEN'!$D$33:$CD$33,A90)+SUMIFS('11.RESUMEN'!$D$39:$CD$39,'11.RESUMEN'!$D$38:$CD$38,A90)+SUMIFS('11.RESUMEN'!$D$44:$CE$44,'11.RESUMEN'!$D$43:$CE$43,A90)+SUMIFS('11.RESUMEN'!$D$50:$CD$50,'11.RESUMEN'!$D$49:$CD$49,A90),0)</f>
        <v>#VALUE!</v>
      </c>
    </row>
    <row r="91" spans="1:3" ht="18" x14ac:dyDescent="0.25">
      <c r="A91" s="200" t="s">
        <v>589</v>
      </c>
      <c r="B91" s="201" t="s">
        <v>590</v>
      </c>
      <c r="C91" s="202" t="e">
        <f>+ROUND(SUMIFS('11.RESUMEN'!$D$12:$CE$12,'11.RESUMEN'!$D$11:$CE$11,A91)+SUMIFS('11.RESUMEN'!$D$18:$CI$18,'11.RESUMEN'!$D$17:$CI$17,A91)+SUMIFS('11.RESUMEN'!$D$25:$CD$25,'11.RESUMEN'!$D$24:$CH$24,A91)+SUMIFS('11.RESUMEN'!$D$29:$CI$29,'11.RESUMEN'!$D$28:$CI$28,A91)+SUMIFS('11.RESUMEN'!$D$34:$CD$34,'11.RESUMEN'!$D$33:$CD$33,A91)+SUMIFS('11.RESUMEN'!$D$39:$CD$39,'11.RESUMEN'!$D$38:$CD$38,A91)+SUMIFS('11.RESUMEN'!$D$44:$CE$44,'11.RESUMEN'!$D$43:$CE$43,A91)+SUMIFS('11.RESUMEN'!$D$50:$CD$50,'11.RESUMEN'!$D$49:$CD$49,A91),0)</f>
        <v>#VALUE!</v>
      </c>
    </row>
    <row r="92" spans="1:3" ht="18" x14ac:dyDescent="0.25">
      <c r="A92" s="200" t="s">
        <v>591</v>
      </c>
      <c r="B92" s="201" t="s">
        <v>592</v>
      </c>
      <c r="C92" s="202" t="e">
        <f>+ROUND(SUMIFS('11.RESUMEN'!$D$12:$CE$12,'11.RESUMEN'!$D$11:$CE$11,A92)+SUMIFS('11.RESUMEN'!$D$18:$CI$18,'11.RESUMEN'!$D$17:$CI$17,A92)+SUMIFS('11.RESUMEN'!$D$25:$CD$25,'11.RESUMEN'!$D$24:$CH$24,A92)+SUMIFS('11.RESUMEN'!$D$29:$CI$29,'11.RESUMEN'!$D$28:$CI$28,A92)+SUMIFS('11.RESUMEN'!$D$34:$CD$34,'11.RESUMEN'!$D$33:$CD$33,A92)+SUMIFS('11.RESUMEN'!$D$39:$CD$39,'11.RESUMEN'!$D$38:$CD$38,A92)+SUMIFS('11.RESUMEN'!$D$44:$CE$44,'11.RESUMEN'!$D$43:$CE$43,A92)+SUMIFS('11.RESUMEN'!$D$50:$CD$50,'11.RESUMEN'!$D$49:$CD$49,A92),0)</f>
        <v>#VALUE!</v>
      </c>
    </row>
    <row r="93" spans="1:3" ht="36" x14ac:dyDescent="0.25">
      <c r="A93" s="200" t="s">
        <v>593</v>
      </c>
      <c r="B93" s="201" t="s">
        <v>594</v>
      </c>
      <c r="C93" s="202" t="e">
        <f>+ROUND(SUMIFS('11.RESUMEN'!$D$12:$CE$12,'11.RESUMEN'!$D$11:$CE$11,A93)+SUMIFS('11.RESUMEN'!$D$18:$CI$18,'11.RESUMEN'!$D$17:$CI$17,A93)+SUMIFS('11.RESUMEN'!$D$25:$CD$25,'11.RESUMEN'!$D$24:$CH$24,A93)+SUMIFS('11.RESUMEN'!$D$29:$CI$29,'11.RESUMEN'!$D$28:$CI$28,A93)+SUMIFS('11.RESUMEN'!$D$34:$CD$34,'11.RESUMEN'!$D$33:$CD$33,A93)+SUMIFS('11.RESUMEN'!$D$39:$CD$39,'11.RESUMEN'!$D$38:$CD$38,A93)+SUMIFS('11.RESUMEN'!$D$44:$CE$44,'11.RESUMEN'!$D$43:$CE$43,A93)+SUMIFS('11.RESUMEN'!$D$50:$CD$50,'11.RESUMEN'!$D$49:$CD$49,A93),0)</f>
        <v>#VALUE!</v>
      </c>
    </row>
    <row r="94" spans="1:3" ht="18" x14ac:dyDescent="0.25">
      <c r="A94" s="200" t="s">
        <v>595</v>
      </c>
      <c r="B94" s="201" t="s">
        <v>596</v>
      </c>
      <c r="C94" s="202" t="e">
        <f>+ROUND(SUMIFS('11.RESUMEN'!$D$12:$CE$12,'11.RESUMEN'!$D$11:$CE$11,A94)+SUMIFS('11.RESUMEN'!$D$18:$CI$18,'11.RESUMEN'!$D$17:$CI$17,A94)+SUMIFS('11.RESUMEN'!$D$25:$CD$25,'11.RESUMEN'!$D$24:$CH$24,A94)+SUMIFS('11.RESUMEN'!$D$29:$CI$29,'11.RESUMEN'!$D$28:$CI$28,A94)+SUMIFS('11.RESUMEN'!$D$34:$CD$34,'11.RESUMEN'!$D$33:$CD$33,A94)+SUMIFS('11.RESUMEN'!$D$39:$CD$39,'11.RESUMEN'!$D$38:$CD$38,A94)+SUMIFS('11.RESUMEN'!$D$44:$CE$44,'11.RESUMEN'!$D$43:$CE$43,A94)+SUMIFS('11.RESUMEN'!$D$50:$CD$50,'11.RESUMEN'!$D$49:$CD$49,A94),0)</f>
        <v>#VALUE!</v>
      </c>
    </row>
    <row r="95" spans="1:3" ht="18" x14ac:dyDescent="0.25">
      <c r="A95" s="200" t="s">
        <v>597</v>
      </c>
      <c r="B95" s="201" t="s">
        <v>598</v>
      </c>
      <c r="C95" s="202" t="e">
        <f>+ROUND(SUMIFS('11.RESUMEN'!$D$12:$CE$12,'11.RESUMEN'!$D$11:$CE$11,A95)+SUMIFS('11.RESUMEN'!$D$18:$CI$18,'11.RESUMEN'!$D$17:$CI$17,A95)+SUMIFS('11.RESUMEN'!$D$25:$CD$25,'11.RESUMEN'!$D$24:$CH$24,A95)+SUMIFS('11.RESUMEN'!$D$29:$CI$29,'11.RESUMEN'!$D$28:$CI$28,A95)+SUMIFS('11.RESUMEN'!$D$34:$CD$34,'11.RESUMEN'!$D$33:$CD$33,A95)+SUMIFS('11.RESUMEN'!$D$39:$CD$39,'11.RESUMEN'!$D$38:$CD$38,A95)+SUMIFS('11.RESUMEN'!$D$44:$CE$44,'11.RESUMEN'!$D$43:$CE$43,A95)+SUMIFS('11.RESUMEN'!$D$50:$CD$50,'11.RESUMEN'!$D$49:$CD$49,A95),0)</f>
        <v>#VALUE!</v>
      </c>
    </row>
    <row r="96" spans="1:3" ht="18" x14ac:dyDescent="0.25">
      <c r="A96" s="200" t="s">
        <v>599</v>
      </c>
      <c r="B96" s="201" t="s">
        <v>600</v>
      </c>
      <c r="C96" s="202" t="e">
        <f>+ROUND(SUMIFS('11.RESUMEN'!$D$12:$CE$12,'11.RESUMEN'!$D$11:$CE$11,A96)+SUMIFS('11.RESUMEN'!$D$18:$CI$18,'11.RESUMEN'!$D$17:$CI$17,A96)+SUMIFS('11.RESUMEN'!$D$25:$CD$25,'11.RESUMEN'!$D$24:$CH$24,A96)+SUMIFS('11.RESUMEN'!$D$29:$CI$29,'11.RESUMEN'!$D$28:$CI$28,A96)+SUMIFS('11.RESUMEN'!$D$34:$CD$34,'11.RESUMEN'!$D$33:$CD$33,A96)+SUMIFS('11.RESUMEN'!$D$39:$CD$39,'11.RESUMEN'!$D$38:$CD$38,A96)+SUMIFS('11.RESUMEN'!$D$44:$CE$44,'11.RESUMEN'!$D$43:$CE$43,A96)+SUMIFS('11.RESUMEN'!$D$50:$CD$50,'11.RESUMEN'!$D$49:$CD$49,A96),0)</f>
        <v>#VALUE!</v>
      </c>
    </row>
    <row r="97" spans="1:3" ht="18" x14ac:dyDescent="0.25">
      <c r="A97" s="200" t="s">
        <v>601</v>
      </c>
      <c r="B97" s="201" t="s">
        <v>602</v>
      </c>
      <c r="C97" s="202" t="e">
        <f>+ROUND(SUMIFS('11.RESUMEN'!$D$12:$CE$12,'11.RESUMEN'!$D$11:$CE$11,A97)+SUMIFS('11.RESUMEN'!$D$18:$CI$18,'11.RESUMEN'!$D$17:$CI$17,A97)+SUMIFS('11.RESUMEN'!$D$25:$CD$25,'11.RESUMEN'!$D$24:$CH$24,A97)+SUMIFS('11.RESUMEN'!$D$29:$CI$29,'11.RESUMEN'!$D$28:$CI$28,A97)+SUMIFS('11.RESUMEN'!$D$34:$CD$34,'11.RESUMEN'!$D$33:$CD$33,A97)+SUMIFS('11.RESUMEN'!$D$39:$CD$39,'11.RESUMEN'!$D$38:$CD$38,A97)+SUMIFS('11.RESUMEN'!$D$44:$CE$44,'11.RESUMEN'!$D$43:$CE$43,A97)+SUMIFS('11.RESUMEN'!$D$50:$CD$50,'11.RESUMEN'!$D$49:$CD$49,A97),0)</f>
        <v>#VALUE!</v>
      </c>
    </row>
    <row r="98" spans="1:3" ht="18" x14ac:dyDescent="0.25">
      <c r="A98" s="200" t="s">
        <v>603</v>
      </c>
      <c r="B98" s="201" t="s">
        <v>604</v>
      </c>
      <c r="C98" s="202" t="e">
        <f>+ROUND(SUMIFS('11.RESUMEN'!$D$12:$CE$12,'11.RESUMEN'!$D$11:$CE$11,A98)+SUMIFS('11.RESUMEN'!$D$18:$CI$18,'11.RESUMEN'!$D$17:$CI$17,A98)+SUMIFS('11.RESUMEN'!$D$25:$CD$25,'11.RESUMEN'!$D$24:$CH$24,A98)+SUMIFS('11.RESUMEN'!$D$29:$CI$29,'11.RESUMEN'!$D$28:$CI$28,A98)+SUMIFS('11.RESUMEN'!$D$34:$CD$34,'11.RESUMEN'!$D$33:$CD$33,A98)+SUMIFS('11.RESUMEN'!$D$39:$CD$39,'11.RESUMEN'!$D$38:$CD$38,A98)+SUMIFS('11.RESUMEN'!$D$44:$CE$44,'11.RESUMEN'!$D$43:$CE$43,A98)+SUMIFS('11.RESUMEN'!$D$50:$CD$50,'11.RESUMEN'!$D$49:$CD$49,A98),0)</f>
        <v>#VALUE!</v>
      </c>
    </row>
    <row r="99" spans="1:3" ht="18" x14ac:dyDescent="0.25">
      <c r="A99" s="200" t="s">
        <v>605</v>
      </c>
      <c r="B99" s="201" t="s">
        <v>606</v>
      </c>
      <c r="C99" s="202" t="e">
        <f>+ROUND(SUMIFS('11.RESUMEN'!$D$12:$CE$12,'11.RESUMEN'!$D$11:$CE$11,A99)+SUMIFS('11.RESUMEN'!$D$18:$CI$18,'11.RESUMEN'!$D$17:$CI$17,A99)+SUMIFS('11.RESUMEN'!$D$25:$CD$25,'11.RESUMEN'!$D$24:$CH$24,A99)+SUMIFS('11.RESUMEN'!$D$29:$CI$29,'11.RESUMEN'!$D$28:$CI$28,A99)+SUMIFS('11.RESUMEN'!$D$34:$CD$34,'11.RESUMEN'!$D$33:$CD$33,A99)+SUMIFS('11.RESUMEN'!$D$39:$CD$39,'11.RESUMEN'!$D$38:$CD$38,A99)+SUMIFS('11.RESUMEN'!$D$44:$CE$44,'11.RESUMEN'!$D$43:$CE$43,A99)+SUMIFS('11.RESUMEN'!$D$50:$CD$50,'11.RESUMEN'!$D$49:$CD$49,A99),0)</f>
        <v>#VALUE!</v>
      </c>
    </row>
    <row r="100" spans="1:3" ht="36" x14ac:dyDescent="0.25">
      <c r="A100" s="200" t="s">
        <v>607</v>
      </c>
      <c r="B100" s="201" t="s">
        <v>608</v>
      </c>
      <c r="C100" s="202" t="e">
        <f>+ROUND(SUMIFS('11.RESUMEN'!$D$12:$CE$12,'11.RESUMEN'!$D$11:$CE$11,A100)+SUMIFS('11.RESUMEN'!$D$18:$CI$18,'11.RESUMEN'!$D$17:$CI$17,A100)+SUMIFS('11.RESUMEN'!$D$25:$CD$25,'11.RESUMEN'!$D$24:$CH$24,A100)+SUMIFS('11.RESUMEN'!$D$29:$CI$29,'11.RESUMEN'!$D$28:$CI$28,A100)+SUMIFS('11.RESUMEN'!$D$34:$CD$34,'11.RESUMEN'!$D$33:$CD$33,A100)+SUMIFS('11.RESUMEN'!$D$39:$CD$39,'11.RESUMEN'!$D$38:$CD$38,A100)+SUMIFS('11.RESUMEN'!$D$44:$CE$44,'11.RESUMEN'!$D$43:$CE$43,A100)+SUMIFS('11.RESUMEN'!$D$50:$CD$50,'11.RESUMEN'!$D$49:$CD$49,A100),0)</f>
        <v>#VALUE!</v>
      </c>
    </row>
    <row r="101" spans="1:3" ht="18" x14ac:dyDescent="0.25">
      <c r="A101" s="200" t="s">
        <v>609</v>
      </c>
      <c r="B101" s="201" t="s">
        <v>610</v>
      </c>
      <c r="C101" s="202" t="e">
        <f>+ROUND(SUMIFS('11.RESUMEN'!$D$12:$CE$12,'11.RESUMEN'!$D$11:$CE$11,A101)+SUMIFS('11.RESUMEN'!$D$18:$CI$18,'11.RESUMEN'!$D$17:$CI$17,A101)+SUMIFS('11.RESUMEN'!$D$25:$CD$25,'11.RESUMEN'!$D$24:$CH$24,A101)+SUMIFS('11.RESUMEN'!$D$29:$CI$29,'11.RESUMEN'!$D$28:$CI$28,A101)+SUMIFS('11.RESUMEN'!$D$34:$CD$34,'11.RESUMEN'!$D$33:$CD$33,A101)+SUMIFS('11.RESUMEN'!$D$39:$CD$39,'11.RESUMEN'!$D$38:$CD$38,A101)+SUMIFS('11.RESUMEN'!$D$44:$CE$44,'11.RESUMEN'!$D$43:$CE$43,A101)+SUMIFS('11.RESUMEN'!$D$50:$CD$50,'11.RESUMEN'!$D$49:$CD$49,A101),0)</f>
        <v>#VALUE!</v>
      </c>
    </row>
    <row r="102" spans="1:3" ht="18" x14ac:dyDescent="0.25">
      <c r="A102" s="200" t="s">
        <v>611</v>
      </c>
      <c r="B102" s="201" t="s">
        <v>612</v>
      </c>
      <c r="C102" s="202" t="e">
        <f>+ROUND(SUMIFS('11.RESUMEN'!$D$12:$CE$12,'11.RESUMEN'!$D$11:$CE$11,A102)+SUMIFS('11.RESUMEN'!$D$18:$CI$18,'11.RESUMEN'!$D$17:$CI$17,A102)+SUMIFS('11.RESUMEN'!$D$25:$CD$25,'11.RESUMEN'!$D$24:$CH$24,A102)+SUMIFS('11.RESUMEN'!$D$29:$CI$29,'11.RESUMEN'!$D$28:$CI$28,A102)+SUMIFS('11.RESUMEN'!$D$34:$CD$34,'11.RESUMEN'!$D$33:$CD$33,A102)+SUMIFS('11.RESUMEN'!$D$39:$CD$39,'11.RESUMEN'!$D$38:$CD$38,A102)+SUMIFS('11.RESUMEN'!$D$44:$CE$44,'11.RESUMEN'!$D$43:$CE$43,A102)+SUMIFS('11.RESUMEN'!$D$50:$CD$50,'11.RESUMEN'!$D$49:$CD$49,A102),0)</f>
        <v>#VALUE!</v>
      </c>
    </row>
    <row r="103" spans="1:3" ht="18" x14ac:dyDescent="0.25">
      <c r="A103" s="200" t="s">
        <v>613</v>
      </c>
      <c r="B103" s="201" t="s">
        <v>614</v>
      </c>
      <c r="C103" s="202" t="e">
        <f>+ROUND(SUMIFS('11.RESUMEN'!$D$12:$CE$12,'11.RESUMEN'!$D$11:$CE$11,A103)+SUMIFS('11.RESUMEN'!$D$18:$CI$18,'11.RESUMEN'!$D$17:$CI$17,A103)+SUMIFS('11.RESUMEN'!$D$25:$CD$25,'11.RESUMEN'!$D$24:$CH$24,A103)+SUMIFS('11.RESUMEN'!$D$29:$CI$29,'11.RESUMEN'!$D$28:$CI$28,A103)+SUMIFS('11.RESUMEN'!$D$34:$CD$34,'11.RESUMEN'!$D$33:$CD$33,A103)+SUMIFS('11.RESUMEN'!$D$39:$CD$39,'11.RESUMEN'!$D$38:$CD$38,A103)+SUMIFS('11.RESUMEN'!$D$44:$CE$44,'11.RESUMEN'!$D$43:$CE$43,A103)+SUMIFS('11.RESUMEN'!$D$50:$CD$50,'11.RESUMEN'!$D$49:$CD$49,A103),0)</f>
        <v>#VALUE!</v>
      </c>
    </row>
    <row r="104" spans="1:3" ht="18" x14ac:dyDescent="0.25">
      <c r="A104" s="200" t="s">
        <v>615</v>
      </c>
      <c r="B104" s="201" t="s">
        <v>616</v>
      </c>
      <c r="C104" s="202" t="e">
        <f>+ROUND(SUMIFS('11.RESUMEN'!$D$12:$CE$12,'11.RESUMEN'!$D$11:$CE$11,A104)+SUMIFS('11.RESUMEN'!$D$18:$CI$18,'11.RESUMEN'!$D$17:$CI$17,A104)+SUMIFS('11.RESUMEN'!$D$25:$CD$25,'11.RESUMEN'!$D$24:$CH$24,A104)+SUMIFS('11.RESUMEN'!$D$29:$CI$29,'11.RESUMEN'!$D$28:$CI$28,A104)+SUMIFS('11.RESUMEN'!$D$34:$CD$34,'11.RESUMEN'!$D$33:$CD$33,A104)+SUMIFS('11.RESUMEN'!$D$39:$CD$39,'11.RESUMEN'!$D$38:$CD$38,A104)+SUMIFS('11.RESUMEN'!$D$44:$CE$44,'11.RESUMEN'!$D$43:$CE$43,A104)+SUMIFS('11.RESUMEN'!$D$50:$CD$50,'11.RESUMEN'!$D$49:$CD$49,A104),0)</f>
        <v>#VALUE!</v>
      </c>
    </row>
    <row r="105" spans="1:3" ht="18" x14ac:dyDescent="0.25">
      <c r="A105" s="200" t="s">
        <v>617</v>
      </c>
      <c r="B105" s="201" t="s">
        <v>618</v>
      </c>
      <c r="C105" s="202" t="e">
        <f>+ROUND(SUMIFS('11.RESUMEN'!$D$12:$CE$12,'11.RESUMEN'!$D$11:$CE$11,A105)+SUMIFS('11.RESUMEN'!$D$18:$CI$18,'11.RESUMEN'!$D$17:$CI$17,A105)+SUMIFS('11.RESUMEN'!$D$25:$CD$25,'11.RESUMEN'!$D$24:$CH$24,A105)+SUMIFS('11.RESUMEN'!$D$29:$CI$29,'11.RESUMEN'!$D$28:$CI$28,A105)+SUMIFS('11.RESUMEN'!$D$34:$CD$34,'11.RESUMEN'!$D$33:$CD$33,A105)+SUMIFS('11.RESUMEN'!$D$39:$CD$39,'11.RESUMEN'!$D$38:$CD$38,A105)+SUMIFS('11.RESUMEN'!$D$44:$CE$44,'11.RESUMEN'!$D$43:$CE$43,A105)+SUMIFS('11.RESUMEN'!$D$50:$CD$50,'11.RESUMEN'!$D$49:$CD$49,A105),0)</f>
        <v>#VALUE!</v>
      </c>
    </row>
    <row r="106" spans="1:3" ht="18" x14ac:dyDescent="0.25">
      <c r="A106" s="200" t="s">
        <v>619</v>
      </c>
      <c r="B106" s="201" t="s">
        <v>620</v>
      </c>
      <c r="C106" s="202" t="e">
        <f>+ROUND(SUMIFS('11.RESUMEN'!$D$12:$CE$12,'11.RESUMEN'!$D$11:$CE$11,A106)+SUMIFS('11.RESUMEN'!$D$18:$CI$18,'11.RESUMEN'!$D$17:$CI$17,A106)+SUMIFS('11.RESUMEN'!$D$25:$CD$25,'11.RESUMEN'!$D$24:$CH$24,A106)+SUMIFS('11.RESUMEN'!$D$29:$CI$29,'11.RESUMEN'!$D$28:$CI$28,A106)+SUMIFS('11.RESUMEN'!$D$34:$CD$34,'11.RESUMEN'!$D$33:$CD$33,A106)+SUMIFS('11.RESUMEN'!$D$39:$CD$39,'11.RESUMEN'!$D$38:$CD$38,A106)+SUMIFS('11.RESUMEN'!$D$44:$CE$44,'11.RESUMEN'!$D$43:$CE$43,A106)+SUMIFS('11.RESUMEN'!$D$50:$CD$50,'11.RESUMEN'!$D$49:$CD$49,A106),0)</f>
        <v>#VALUE!</v>
      </c>
    </row>
    <row r="107" spans="1:3" ht="18" x14ac:dyDescent="0.25">
      <c r="A107" s="200" t="s">
        <v>621</v>
      </c>
      <c r="B107" s="201" t="s">
        <v>622</v>
      </c>
      <c r="C107" s="202" t="e">
        <f>+ROUND(SUMIFS('11.RESUMEN'!$D$12:$CE$12,'11.RESUMEN'!$D$11:$CE$11,A107)+SUMIFS('11.RESUMEN'!$D$18:$CI$18,'11.RESUMEN'!$D$17:$CI$17,A107)+SUMIFS('11.RESUMEN'!$D$25:$CD$25,'11.RESUMEN'!$D$24:$CH$24,A107)+SUMIFS('11.RESUMEN'!$D$29:$CI$29,'11.RESUMEN'!$D$28:$CI$28,A107)+SUMIFS('11.RESUMEN'!$D$34:$CD$34,'11.RESUMEN'!$D$33:$CD$33,A107)+SUMIFS('11.RESUMEN'!$D$39:$CD$39,'11.RESUMEN'!$D$38:$CD$38,A107)+SUMIFS('11.RESUMEN'!$D$44:$CE$44,'11.RESUMEN'!$D$43:$CE$43,A107)+SUMIFS('11.RESUMEN'!$D$50:$CD$50,'11.RESUMEN'!$D$49:$CD$49,A107),0)</f>
        <v>#VALUE!</v>
      </c>
    </row>
    <row r="108" spans="1:3" ht="18" x14ac:dyDescent="0.25">
      <c r="A108" s="200" t="s">
        <v>623</v>
      </c>
      <c r="B108" s="201" t="s">
        <v>624</v>
      </c>
      <c r="C108" s="202" t="e">
        <f>+ROUND(SUMIFS('11.RESUMEN'!$D$12:$CE$12,'11.RESUMEN'!$D$11:$CE$11,A108)+SUMIFS('11.RESUMEN'!$D$18:$CI$18,'11.RESUMEN'!$D$17:$CI$17,A108)+SUMIFS('11.RESUMEN'!$D$25:$CD$25,'11.RESUMEN'!$D$24:$CH$24,A108)+SUMIFS('11.RESUMEN'!$D$29:$CI$29,'11.RESUMEN'!$D$28:$CI$28,A108)+SUMIFS('11.RESUMEN'!$D$34:$CD$34,'11.RESUMEN'!$D$33:$CD$33,A108)+SUMIFS('11.RESUMEN'!$D$39:$CD$39,'11.RESUMEN'!$D$38:$CD$38,A108)+SUMIFS('11.RESUMEN'!$D$44:$CE$44,'11.RESUMEN'!$D$43:$CE$43,A108)+SUMIFS('11.RESUMEN'!$D$50:$CD$50,'11.RESUMEN'!$D$49:$CD$49,A108),0)</f>
        <v>#VALUE!</v>
      </c>
    </row>
    <row r="109" spans="1:3" ht="36" x14ac:dyDescent="0.25">
      <c r="A109" s="200" t="s">
        <v>625</v>
      </c>
      <c r="B109" s="201" t="s">
        <v>626</v>
      </c>
      <c r="C109" s="202" t="e">
        <f>+ROUND(SUMIFS('11.RESUMEN'!$D$12:$CE$12,'11.RESUMEN'!$D$11:$CE$11,A109)+SUMIFS('11.RESUMEN'!$D$18:$CI$18,'11.RESUMEN'!$D$17:$CI$17,A109)+SUMIFS('11.RESUMEN'!$D$25:$CD$25,'11.RESUMEN'!$D$24:$CH$24,A109)+SUMIFS('11.RESUMEN'!$D$29:$CI$29,'11.RESUMEN'!$D$28:$CI$28,A109)+SUMIFS('11.RESUMEN'!$D$34:$CD$34,'11.RESUMEN'!$D$33:$CD$33,A109)+SUMIFS('11.RESUMEN'!$D$39:$CD$39,'11.RESUMEN'!$D$38:$CD$38,A109)+SUMIFS('11.RESUMEN'!$D$44:$CE$44,'11.RESUMEN'!$D$43:$CE$43,A109)+SUMIFS('11.RESUMEN'!$D$50:$CD$50,'11.RESUMEN'!$D$49:$CD$49,A109),0)</f>
        <v>#VALUE!</v>
      </c>
    </row>
    <row r="110" spans="1:3" ht="36" x14ac:dyDescent="0.25">
      <c r="A110" s="200" t="s">
        <v>627</v>
      </c>
      <c r="B110" s="201" t="s">
        <v>628</v>
      </c>
      <c r="C110" s="202" t="e">
        <f>+ROUND(SUMIFS('11.RESUMEN'!$D$12:$CE$12,'11.RESUMEN'!$D$11:$CE$11,A110)+SUMIFS('11.RESUMEN'!$D$18:$CI$18,'11.RESUMEN'!$D$17:$CI$17,A110)+SUMIFS('11.RESUMEN'!$D$25:$CD$25,'11.RESUMEN'!$D$24:$CH$24,A110)+SUMIFS('11.RESUMEN'!$D$29:$CI$29,'11.RESUMEN'!$D$28:$CI$28,A110)+SUMIFS('11.RESUMEN'!$D$34:$CD$34,'11.RESUMEN'!$D$33:$CD$33,A110)+SUMIFS('11.RESUMEN'!$D$39:$CD$39,'11.RESUMEN'!$D$38:$CD$38,A110)+SUMIFS('11.RESUMEN'!$D$44:$CE$44,'11.RESUMEN'!$D$43:$CE$43,A110)+SUMIFS('11.RESUMEN'!$D$50:$CD$50,'11.RESUMEN'!$D$49:$CD$49,A110),0)</f>
        <v>#VALUE!</v>
      </c>
    </row>
    <row r="111" spans="1:3" ht="36" x14ac:dyDescent="0.25">
      <c r="A111" s="200" t="s">
        <v>629</v>
      </c>
      <c r="B111" s="201" t="s">
        <v>630</v>
      </c>
      <c r="C111" s="202" t="e">
        <f>+ROUND(SUMIFS('11.RESUMEN'!$D$12:$CE$12,'11.RESUMEN'!$D$11:$CE$11,A111)+SUMIFS('11.RESUMEN'!$D$18:$CI$18,'11.RESUMEN'!$D$17:$CI$17,A111)+SUMIFS('11.RESUMEN'!$D$25:$CD$25,'11.RESUMEN'!$D$24:$CH$24,A111)+SUMIFS('11.RESUMEN'!$D$29:$CI$29,'11.RESUMEN'!$D$28:$CI$28,A111)+SUMIFS('11.RESUMEN'!$D$34:$CD$34,'11.RESUMEN'!$D$33:$CD$33,A111)+SUMIFS('11.RESUMEN'!$D$39:$CD$39,'11.RESUMEN'!$D$38:$CD$38,A111)+SUMIFS('11.RESUMEN'!$D$44:$CE$44,'11.RESUMEN'!$D$43:$CE$43,A111)+SUMIFS('11.RESUMEN'!$D$50:$CD$50,'11.RESUMEN'!$D$49:$CD$49,A111),0)</f>
        <v>#VALUE!</v>
      </c>
    </row>
    <row r="112" spans="1:3" ht="36" x14ac:dyDescent="0.25">
      <c r="A112" s="200" t="s">
        <v>631</v>
      </c>
      <c r="B112" s="201" t="s">
        <v>632</v>
      </c>
      <c r="C112" s="202" t="e">
        <f>+ROUND(SUMIFS('11.RESUMEN'!$D$12:$CE$12,'11.RESUMEN'!$D$11:$CE$11,A112)+SUMIFS('11.RESUMEN'!$D$18:$CI$18,'11.RESUMEN'!$D$17:$CI$17,A112)+SUMIFS('11.RESUMEN'!$D$25:$CD$25,'11.RESUMEN'!$D$24:$CH$24,A112)+SUMIFS('11.RESUMEN'!$D$29:$CI$29,'11.RESUMEN'!$D$28:$CI$28,A112)+SUMIFS('11.RESUMEN'!$D$34:$CD$34,'11.RESUMEN'!$D$33:$CD$33,A112)+SUMIFS('11.RESUMEN'!$D$39:$CD$39,'11.RESUMEN'!$D$38:$CD$38,A112)+SUMIFS('11.RESUMEN'!$D$44:$CE$44,'11.RESUMEN'!$D$43:$CE$43,A112)+SUMIFS('11.RESUMEN'!$D$50:$CD$50,'11.RESUMEN'!$D$49:$CD$49,A112),0)</f>
        <v>#VALUE!</v>
      </c>
    </row>
    <row r="113" spans="1:3" ht="36" x14ac:dyDescent="0.25">
      <c r="A113" s="200" t="s">
        <v>633</v>
      </c>
      <c r="B113" s="201" t="s">
        <v>634</v>
      </c>
      <c r="C113" s="202" t="e">
        <f>+ROUND(SUMIFS('11.RESUMEN'!$D$12:$CE$12,'11.RESUMEN'!$D$11:$CE$11,A113)+SUMIFS('11.RESUMEN'!$D$18:$CI$18,'11.RESUMEN'!$D$17:$CI$17,A113)+SUMIFS('11.RESUMEN'!$D$25:$CD$25,'11.RESUMEN'!$D$24:$CH$24,A113)+SUMIFS('11.RESUMEN'!$D$29:$CI$29,'11.RESUMEN'!$D$28:$CI$28,A113)+SUMIFS('11.RESUMEN'!$D$34:$CD$34,'11.RESUMEN'!$D$33:$CD$33,A113)+SUMIFS('11.RESUMEN'!$D$39:$CD$39,'11.RESUMEN'!$D$38:$CD$38,A113)+SUMIFS('11.RESUMEN'!$D$44:$CE$44,'11.RESUMEN'!$D$43:$CE$43,A113)+SUMIFS('11.RESUMEN'!$D$50:$CD$50,'11.RESUMEN'!$D$49:$CD$49,A113),0)</f>
        <v>#VALUE!</v>
      </c>
    </row>
    <row r="114" spans="1:3" ht="36" x14ac:dyDescent="0.25">
      <c r="A114" s="200" t="s">
        <v>635</v>
      </c>
      <c r="B114" s="201" t="s">
        <v>636</v>
      </c>
      <c r="C114" s="202" t="e">
        <f>+ROUND(SUMIFS('11.RESUMEN'!$D$12:$CE$12,'11.RESUMEN'!$D$11:$CE$11,A114)+SUMIFS('11.RESUMEN'!$D$18:$CI$18,'11.RESUMEN'!$D$17:$CI$17,A114)+SUMIFS('11.RESUMEN'!$D$25:$CD$25,'11.RESUMEN'!$D$24:$CH$24,A114)+SUMIFS('11.RESUMEN'!$D$29:$CI$29,'11.RESUMEN'!$D$28:$CI$28,A114)+SUMIFS('11.RESUMEN'!$D$34:$CD$34,'11.RESUMEN'!$D$33:$CD$33,A114)+SUMIFS('11.RESUMEN'!$D$39:$CD$39,'11.RESUMEN'!$D$38:$CD$38,A114)+SUMIFS('11.RESUMEN'!$D$44:$CE$44,'11.RESUMEN'!$D$43:$CE$43,A114)+SUMIFS('11.RESUMEN'!$D$50:$CD$50,'11.RESUMEN'!$D$49:$CD$49,A114),0)</f>
        <v>#VALUE!</v>
      </c>
    </row>
    <row r="115" spans="1:3" ht="36" x14ac:dyDescent="0.25">
      <c r="A115" s="200" t="s">
        <v>306</v>
      </c>
      <c r="B115" s="201" t="s">
        <v>637</v>
      </c>
      <c r="C115" s="202" t="e">
        <f>+ROUND(SUMIFS('11.RESUMEN'!$D$12:$CE$12,'11.RESUMEN'!$D$11:$CE$11,A115)+SUMIFS('11.RESUMEN'!$D$18:$CI$18,'11.RESUMEN'!$D$17:$CI$17,A115)+SUMIFS('11.RESUMEN'!$D$25:$CD$25,'11.RESUMEN'!$D$24:$CH$24,A115)+SUMIFS('11.RESUMEN'!$D$29:$CI$29,'11.RESUMEN'!$D$28:$CI$28,A115)+SUMIFS('11.RESUMEN'!$D$34:$CD$34,'11.RESUMEN'!$D$33:$CD$33,A115)+SUMIFS('11.RESUMEN'!$D$39:$CD$39,'11.RESUMEN'!$D$38:$CD$38,A115)+SUMIFS('11.RESUMEN'!$D$44:$CE$44,'11.RESUMEN'!$D$43:$CE$43,A115)+SUMIFS('11.RESUMEN'!$D$50:$CD$50,'11.RESUMEN'!$D$49:$CD$49,A115),0)</f>
        <v>#VALUE!</v>
      </c>
    </row>
    <row r="116" spans="1:3" ht="18" x14ac:dyDescent="0.25">
      <c r="A116" s="200" t="s">
        <v>638</v>
      </c>
      <c r="B116" s="201" t="s">
        <v>639</v>
      </c>
      <c r="C116" s="202" t="e">
        <f>+ROUND(SUMIFS('11.RESUMEN'!$D$12:$CE$12,'11.RESUMEN'!$D$11:$CE$11,A116)+SUMIFS('11.RESUMEN'!$D$18:$CI$18,'11.RESUMEN'!$D$17:$CI$17,A116)+SUMIFS('11.RESUMEN'!$D$25:$CD$25,'11.RESUMEN'!$D$24:$CH$24,A116)+SUMIFS('11.RESUMEN'!$D$29:$CI$29,'11.RESUMEN'!$D$28:$CI$28,A116)+SUMIFS('11.RESUMEN'!$D$34:$CD$34,'11.RESUMEN'!$D$33:$CD$33,A116)+SUMIFS('11.RESUMEN'!$D$39:$CD$39,'11.RESUMEN'!$D$38:$CD$38,A116)+SUMIFS('11.RESUMEN'!$D$44:$CE$44,'11.RESUMEN'!$D$43:$CE$43,A116)+SUMIFS('11.RESUMEN'!$D$50:$CD$50,'11.RESUMEN'!$D$49:$CD$49,A116),0)</f>
        <v>#VALUE!</v>
      </c>
    </row>
    <row r="117" spans="1:3" ht="36" x14ac:dyDescent="0.25">
      <c r="A117" s="200" t="s">
        <v>231</v>
      </c>
      <c r="B117" s="201" t="s">
        <v>640</v>
      </c>
      <c r="C117" s="202" t="e">
        <f>+ROUND(SUMIFS('11.RESUMEN'!$D$12:$CE$12,'11.RESUMEN'!$D$11:$CE$11,A117)+SUMIFS('11.RESUMEN'!$D$18:$CI$18,'11.RESUMEN'!$D$17:$CI$17,A117)+SUMIFS('11.RESUMEN'!$D$25:$CD$25,'11.RESUMEN'!$D$24:$CH$24,A117)+SUMIFS('11.RESUMEN'!$D$29:$CI$29,'11.RESUMEN'!$D$28:$CI$28,A117)+SUMIFS('11.RESUMEN'!$D$34:$CD$34,'11.RESUMEN'!$D$33:$CD$33,A117)+SUMIFS('11.RESUMEN'!$D$39:$CD$39,'11.RESUMEN'!$D$38:$CD$38,A117)+SUMIFS('11.RESUMEN'!$D$44:$CE$44,'11.RESUMEN'!$D$43:$CE$43,A117)+SUMIFS('11.RESUMEN'!$D$50:$CD$50,'11.RESUMEN'!$D$49:$CD$49,A117),0)</f>
        <v>#VALUE!</v>
      </c>
    </row>
    <row r="118" spans="1:3" ht="36" x14ac:dyDescent="0.25">
      <c r="A118" s="200" t="s">
        <v>641</v>
      </c>
      <c r="B118" s="201" t="s">
        <v>642</v>
      </c>
      <c r="C118" s="202" t="e">
        <f>+ROUND(SUMIFS('11.RESUMEN'!$D$12:$CE$12,'11.RESUMEN'!$D$11:$CE$11,A118)+SUMIFS('11.RESUMEN'!$D$18:$CI$18,'11.RESUMEN'!$D$17:$CI$17,A118)+SUMIFS('11.RESUMEN'!$D$25:$CD$25,'11.RESUMEN'!$D$24:$CH$24,A118)+SUMIFS('11.RESUMEN'!$D$29:$CI$29,'11.RESUMEN'!$D$28:$CI$28,A118)+SUMIFS('11.RESUMEN'!$D$34:$CD$34,'11.RESUMEN'!$D$33:$CD$33,A118)+SUMIFS('11.RESUMEN'!$D$39:$CD$39,'11.RESUMEN'!$D$38:$CD$38,A118)+SUMIFS('11.RESUMEN'!$D$44:$CE$44,'11.RESUMEN'!$D$43:$CE$43,A118)+SUMIFS('11.RESUMEN'!$D$50:$CD$50,'11.RESUMEN'!$D$49:$CD$49,A118),0)</f>
        <v>#VALUE!</v>
      </c>
    </row>
    <row r="119" spans="1:3" ht="36" x14ac:dyDescent="0.25">
      <c r="A119" s="200" t="s">
        <v>643</v>
      </c>
      <c r="B119" s="201" t="s">
        <v>644</v>
      </c>
      <c r="C119" s="202" t="e">
        <f>+ROUND(SUMIFS('11.RESUMEN'!$D$12:$CE$12,'11.RESUMEN'!$D$11:$CE$11,A119)+SUMIFS('11.RESUMEN'!$D$18:$CI$18,'11.RESUMEN'!$D$17:$CI$17,A119)+SUMIFS('11.RESUMEN'!$D$25:$CD$25,'11.RESUMEN'!$D$24:$CH$24,A119)+SUMIFS('11.RESUMEN'!$D$29:$CI$29,'11.RESUMEN'!$D$28:$CI$28,A119)+SUMIFS('11.RESUMEN'!$D$34:$CD$34,'11.RESUMEN'!$D$33:$CD$33,A119)+SUMIFS('11.RESUMEN'!$D$39:$CD$39,'11.RESUMEN'!$D$38:$CD$38,A119)+SUMIFS('11.RESUMEN'!$D$44:$CE$44,'11.RESUMEN'!$D$43:$CE$43,A119)+SUMIFS('11.RESUMEN'!$D$50:$CD$50,'11.RESUMEN'!$D$49:$CD$49,A119),0)</f>
        <v>#VALUE!</v>
      </c>
    </row>
    <row r="120" spans="1:3" ht="18" x14ac:dyDescent="0.25">
      <c r="A120" s="200" t="s">
        <v>645</v>
      </c>
      <c r="B120" s="201" t="s">
        <v>646</v>
      </c>
      <c r="C120" s="202" t="e">
        <f>+ROUND(SUMIFS('11.RESUMEN'!$D$12:$CE$12,'11.RESUMEN'!$D$11:$CE$11,A120)+SUMIFS('11.RESUMEN'!$D$18:$CI$18,'11.RESUMEN'!$D$17:$CI$17,A120)+SUMIFS('11.RESUMEN'!$D$25:$CD$25,'11.RESUMEN'!$D$24:$CH$24,A120)+SUMIFS('11.RESUMEN'!$D$29:$CI$29,'11.RESUMEN'!$D$28:$CI$28,A120)+SUMIFS('11.RESUMEN'!$D$34:$CD$34,'11.RESUMEN'!$D$33:$CD$33,A120)+SUMIFS('11.RESUMEN'!$D$39:$CD$39,'11.RESUMEN'!$D$38:$CD$38,A120)+SUMIFS('11.RESUMEN'!$D$44:$CE$44,'11.RESUMEN'!$D$43:$CE$43,A120)+SUMIFS('11.RESUMEN'!$D$50:$CD$50,'11.RESUMEN'!$D$49:$CD$49,A120),0)</f>
        <v>#VALUE!</v>
      </c>
    </row>
    <row r="121" spans="1:3" ht="18" x14ac:dyDescent="0.25">
      <c r="A121" s="200" t="s">
        <v>647</v>
      </c>
      <c r="B121" s="201" t="s">
        <v>648</v>
      </c>
      <c r="C121" s="202" t="e">
        <f>+ROUND(SUMIFS('11.RESUMEN'!$D$12:$CE$12,'11.RESUMEN'!$D$11:$CE$11,A121)+SUMIFS('11.RESUMEN'!$D$18:$CI$18,'11.RESUMEN'!$D$17:$CI$17,A121)+SUMIFS('11.RESUMEN'!$D$25:$CD$25,'11.RESUMEN'!$D$24:$CH$24,A121)+SUMIFS('11.RESUMEN'!$D$29:$CI$29,'11.RESUMEN'!$D$28:$CI$28,A121)+SUMIFS('11.RESUMEN'!$D$34:$CD$34,'11.RESUMEN'!$D$33:$CD$33,A121)+SUMIFS('11.RESUMEN'!$D$39:$CD$39,'11.RESUMEN'!$D$38:$CD$38,A121)+SUMIFS('11.RESUMEN'!$D$44:$CE$44,'11.RESUMEN'!$D$43:$CE$43,A121)+SUMIFS('11.RESUMEN'!$D$50:$CD$50,'11.RESUMEN'!$D$49:$CD$49,A121),0)</f>
        <v>#VALUE!</v>
      </c>
    </row>
    <row r="122" spans="1:3" ht="18" x14ac:dyDescent="0.25">
      <c r="A122" s="200" t="s">
        <v>649</v>
      </c>
      <c r="B122" s="201" t="s">
        <v>650</v>
      </c>
      <c r="C122" s="202" t="e">
        <f>+ROUND(SUMIFS('11.RESUMEN'!$D$12:$CE$12,'11.RESUMEN'!$D$11:$CE$11,A122)+SUMIFS('11.RESUMEN'!$D$18:$CI$18,'11.RESUMEN'!$D$17:$CI$17,A122)+SUMIFS('11.RESUMEN'!$D$25:$CD$25,'11.RESUMEN'!$D$24:$CH$24,A122)+SUMIFS('11.RESUMEN'!$D$29:$CI$29,'11.RESUMEN'!$D$28:$CI$28,A122)+SUMIFS('11.RESUMEN'!$D$34:$CD$34,'11.RESUMEN'!$D$33:$CD$33,A122)+SUMIFS('11.RESUMEN'!$D$39:$CD$39,'11.RESUMEN'!$D$38:$CD$38,A122)+SUMIFS('11.RESUMEN'!$D$44:$CE$44,'11.RESUMEN'!$D$43:$CE$43,A122)+SUMIFS('11.RESUMEN'!$D$50:$CD$50,'11.RESUMEN'!$D$49:$CD$49,A122),0)</f>
        <v>#VALUE!</v>
      </c>
    </row>
    <row r="123" spans="1:3" ht="18" x14ac:dyDescent="0.25">
      <c r="A123" s="200" t="s">
        <v>651</v>
      </c>
      <c r="B123" s="201" t="s">
        <v>652</v>
      </c>
      <c r="C123" s="202" t="e">
        <f>+ROUND(SUMIFS('11.RESUMEN'!$D$12:$CE$12,'11.RESUMEN'!$D$11:$CE$11,A123)+SUMIFS('11.RESUMEN'!$D$18:$CI$18,'11.RESUMEN'!$D$17:$CI$17,A123)+SUMIFS('11.RESUMEN'!$D$25:$CD$25,'11.RESUMEN'!$D$24:$CH$24,A123)+SUMIFS('11.RESUMEN'!$D$29:$CI$29,'11.RESUMEN'!$D$28:$CI$28,A123)+SUMIFS('11.RESUMEN'!$D$34:$CD$34,'11.RESUMEN'!$D$33:$CD$33,A123)+SUMIFS('11.RESUMEN'!$D$39:$CD$39,'11.RESUMEN'!$D$38:$CD$38,A123)+SUMIFS('11.RESUMEN'!$D$44:$CE$44,'11.RESUMEN'!$D$43:$CE$43,A123)+SUMIFS('11.RESUMEN'!$D$50:$CD$50,'11.RESUMEN'!$D$49:$CD$49,A123),0)</f>
        <v>#VALUE!</v>
      </c>
    </row>
    <row r="124" spans="1:3" ht="18" x14ac:dyDescent="0.25">
      <c r="A124" s="200" t="s">
        <v>653</v>
      </c>
      <c r="B124" s="201" t="s">
        <v>654</v>
      </c>
      <c r="C124" s="202" t="e">
        <f>+ROUND(SUMIFS('11.RESUMEN'!$D$12:$CE$12,'11.RESUMEN'!$D$11:$CE$11,A124)+SUMIFS('11.RESUMEN'!$D$18:$CI$18,'11.RESUMEN'!$D$17:$CI$17,A124)+SUMIFS('11.RESUMEN'!$D$25:$CD$25,'11.RESUMEN'!$D$24:$CH$24,A124)+SUMIFS('11.RESUMEN'!$D$29:$CI$29,'11.RESUMEN'!$D$28:$CI$28,A124)+SUMIFS('11.RESUMEN'!$D$34:$CD$34,'11.RESUMEN'!$D$33:$CD$33,A124)+SUMIFS('11.RESUMEN'!$D$39:$CD$39,'11.RESUMEN'!$D$38:$CD$38,A124)+SUMIFS('11.RESUMEN'!$D$44:$CE$44,'11.RESUMEN'!$D$43:$CE$43,A124)+SUMIFS('11.RESUMEN'!$D$50:$CD$50,'11.RESUMEN'!$D$49:$CD$49,A124),0)</f>
        <v>#VALUE!</v>
      </c>
    </row>
    <row r="125" spans="1:3" ht="18" x14ac:dyDescent="0.25">
      <c r="A125" s="197" t="s">
        <v>655</v>
      </c>
      <c r="B125" s="198" t="s">
        <v>656</v>
      </c>
      <c r="C125" s="199" t="e">
        <f>SUM(C126:C141)</f>
        <v>#VALUE!</v>
      </c>
    </row>
    <row r="126" spans="1:3" ht="18" x14ac:dyDescent="0.25">
      <c r="A126" s="200" t="s">
        <v>314</v>
      </c>
      <c r="B126" s="201" t="s">
        <v>657</v>
      </c>
      <c r="C126" s="202" t="e">
        <f>+ROUND(SUMIFS('11.RESUMEN'!$D$12:$CE$12,'11.RESUMEN'!$D$11:$CE$11,A126)+SUMIFS('11.RESUMEN'!$D$18:$CI$18,'11.RESUMEN'!$D$17:$CI$17,A126)+SUMIFS('11.RESUMEN'!$D$25:$CD$25,'11.RESUMEN'!$D$24:$CH$24,A126)+SUMIFS('11.RESUMEN'!$D$29:$CI$29,'11.RESUMEN'!$D$28:$CI$28,A126)+SUMIFS('11.RESUMEN'!$D$34:$CD$34,'11.RESUMEN'!$D$33:$CD$33,A126)+SUMIFS('11.RESUMEN'!$D$39:$CD$39,'11.RESUMEN'!$D$38:$CD$38,A126)+SUMIFS('11.RESUMEN'!$D$44:$CE$44,'11.RESUMEN'!$D$43:$CE$43,A126)+SUMIFS('11.RESUMEN'!$D$50:$CD$50,'11.RESUMEN'!$D$49:$CD$49,A126),0)</f>
        <v>#VALUE!</v>
      </c>
    </row>
    <row r="127" spans="1:3" ht="18" x14ac:dyDescent="0.25">
      <c r="A127" s="200" t="s">
        <v>658</v>
      </c>
      <c r="B127" s="201" t="s">
        <v>659</v>
      </c>
      <c r="C127" s="202" t="e">
        <f>+ROUND(SUMIFS('11.RESUMEN'!$D$12:$CE$12,'11.RESUMEN'!$D$11:$CE$11,A127)+SUMIFS('11.RESUMEN'!$D$18:$CI$18,'11.RESUMEN'!$D$17:$CI$17,A127)+SUMIFS('11.RESUMEN'!$D$25:$CD$25,'11.RESUMEN'!$D$24:$CH$24,A127)+SUMIFS('11.RESUMEN'!$D$29:$CI$29,'11.RESUMEN'!$D$28:$CI$28,A127)+SUMIFS('11.RESUMEN'!$D$34:$CD$34,'11.RESUMEN'!$D$33:$CD$33,A127)+SUMIFS('11.RESUMEN'!$D$39:$CD$39,'11.RESUMEN'!$D$38:$CD$38,A127)+SUMIFS('11.RESUMEN'!$D$44:$CE$44,'11.RESUMEN'!$D$43:$CE$43,A127)+SUMIFS('11.RESUMEN'!$D$50:$CD$50,'11.RESUMEN'!$D$49:$CD$49,A127),0)</f>
        <v>#VALUE!</v>
      </c>
    </row>
    <row r="128" spans="1:3" ht="18" x14ac:dyDescent="0.25">
      <c r="A128" s="200" t="s">
        <v>660</v>
      </c>
      <c r="B128" s="201" t="s">
        <v>661</v>
      </c>
      <c r="C128" s="202" t="e">
        <f>+ROUND(SUMIFS('11.RESUMEN'!$D$12:$CE$12,'11.RESUMEN'!$D$11:$CE$11,A128)+SUMIFS('11.RESUMEN'!$D$18:$CI$18,'11.RESUMEN'!$D$17:$CI$17,A128)+SUMIFS('11.RESUMEN'!$D$25:$CD$25,'11.RESUMEN'!$D$24:$CH$24,A128)+SUMIFS('11.RESUMEN'!$D$29:$CI$29,'11.RESUMEN'!$D$28:$CI$28,A128)+SUMIFS('11.RESUMEN'!$D$34:$CD$34,'11.RESUMEN'!$D$33:$CD$33,A128)+SUMIFS('11.RESUMEN'!$D$39:$CD$39,'11.RESUMEN'!$D$38:$CD$38,A128)+SUMIFS('11.RESUMEN'!$D$44:$CE$44,'11.RESUMEN'!$D$43:$CE$43,A128)+SUMIFS('11.RESUMEN'!$D$50:$CD$50,'11.RESUMEN'!$D$49:$CD$49,A128),0)</f>
        <v>#VALUE!</v>
      </c>
    </row>
    <row r="129" spans="1:3" ht="18" x14ac:dyDescent="0.25">
      <c r="A129" s="200" t="s">
        <v>662</v>
      </c>
      <c r="B129" s="201" t="s">
        <v>663</v>
      </c>
      <c r="C129" s="202" t="e">
        <f>+ROUND(SUMIFS('11.RESUMEN'!$D$12:$CE$12,'11.RESUMEN'!$D$11:$CE$11,A129)+SUMIFS('11.RESUMEN'!$D$18:$CI$18,'11.RESUMEN'!$D$17:$CI$17,A129)+SUMIFS('11.RESUMEN'!$D$25:$CD$25,'11.RESUMEN'!$D$24:$CH$24,A129)+SUMIFS('11.RESUMEN'!$D$29:$CI$29,'11.RESUMEN'!$D$28:$CI$28,A129)+SUMIFS('11.RESUMEN'!$D$34:$CD$34,'11.RESUMEN'!$D$33:$CD$33,A129)+SUMIFS('11.RESUMEN'!$D$39:$CD$39,'11.RESUMEN'!$D$38:$CD$38,A129)+SUMIFS('11.RESUMEN'!$D$44:$CE$44,'11.RESUMEN'!$D$43:$CE$43,A129)+SUMIFS('11.RESUMEN'!$D$50:$CD$50,'11.RESUMEN'!$D$49:$CD$49,A129),0)</f>
        <v>#VALUE!</v>
      </c>
    </row>
    <row r="130" spans="1:3" ht="18" x14ac:dyDescent="0.25">
      <c r="A130" s="200" t="s">
        <v>664</v>
      </c>
      <c r="B130" s="201" t="s">
        <v>665</v>
      </c>
      <c r="C130" s="202" t="e">
        <f>+ROUND(SUMIFS('11.RESUMEN'!$D$12:$CE$12,'11.RESUMEN'!$D$11:$CE$11,A130)+SUMIFS('11.RESUMEN'!$D$18:$CI$18,'11.RESUMEN'!$D$17:$CI$17,A130)+SUMIFS('11.RESUMEN'!$D$25:$CD$25,'11.RESUMEN'!$D$24:$CH$24,A130)+SUMIFS('11.RESUMEN'!$D$29:$CI$29,'11.RESUMEN'!$D$28:$CI$28,A130)+SUMIFS('11.RESUMEN'!$D$34:$CD$34,'11.RESUMEN'!$D$33:$CD$33,A130)+SUMIFS('11.RESUMEN'!$D$39:$CD$39,'11.RESUMEN'!$D$38:$CD$38,A130)+SUMIFS('11.RESUMEN'!$D$44:$CE$44,'11.RESUMEN'!$D$43:$CE$43,A130)+SUMIFS('11.RESUMEN'!$D$50:$CD$50,'11.RESUMEN'!$D$49:$CD$49,A130),0)</f>
        <v>#VALUE!</v>
      </c>
    </row>
    <row r="131" spans="1:3" ht="18" x14ac:dyDescent="0.25">
      <c r="A131" s="200" t="s">
        <v>666</v>
      </c>
      <c r="B131" s="201" t="s">
        <v>667</v>
      </c>
      <c r="C131" s="202" t="e">
        <f>+ROUND(SUMIFS('11.RESUMEN'!$D$12:$CE$12,'11.RESUMEN'!$D$11:$CE$11,A131)+SUMIFS('11.RESUMEN'!$D$18:$CI$18,'11.RESUMEN'!$D$17:$CI$17,A131)+SUMIFS('11.RESUMEN'!$D$25:$CD$25,'11.RESUMEN'!$D$24:$CH$24,A131)+SUMIFS('11.RESUMEN'!$D$29:$CI$29,'11.RESUMEN'!$D$28:$CI$28,A131)+SUMIFS('11.RESUMEN'!$D$34:$CD$34,'11.RESUMEN'!$D$33:$CD$33,A131)+SUMIFS('11.RESUMEN'!$D$39:$CD$39,'11.RESUMEN'!$D$38:$CD$38,A131)+SUMIFS('11.RESUMEN'!$D$44:$CE$44,'11.RESUMEN'!$D$43:$CE$43,A131)+SUMIFS('11.RESUMEN'!$D$50:$CD$50,'11.RESUMEN'!$D$49:$CD$49,A131),0)</f>
        <v>#VALUE!</v>
      </c>
    </row>
    <row r="132" spans="1:3" ht="18" x14ac:dyDescent="0.25">
      <c r="A132" s="200" t="s">
        <v>668</v>
      </c>
      <c r="B132" s="201" t="s">
        <v>669</v>
      </c>
      <c r="C132" s="202" t="e">
        <f>+ROUND(SUMIFS('11.RESUMEN'!$D$12:$CE$12,'11.RESUMEN'!$D$11:$CE$11,A132)+SUMIFS('11.RESUMEN'!$D$18:$CI$18,'11.RESUMEN'!$D$17:$CI$17,A132)+SUMIFS('11.RESUMEN'!$D$25:$CD$25,'11.RESUMEN'!$D$24:$CH$24,A132)+SUMIFS('11.RESUMEN'!$D$29:$CI$29,'11.RESUMEN'!$D$28:$CI$28,A132)+SUMIFS('11.RESUMEN'!$D$34:$CD$34,'11.RESUMEN'!$D$33:$CD$33,A132)+SUMIFS('11.RESUMEN'!$D$39:$CD$39,'11.RESUMEN'!$D$38:$CD$38,A132)+SUMIFS('11.RESUMEN'!$D$44:$CE$44,'11.RESUMEN'!$D$43:$CE$43,A132)+SUMIFS('11.RESUMEN'!$D$50:$CD$50,'11.RESUMEN'!$D$49:$CD$49,A132),0)</f>
        <v>#VALUE!</v>
      </c>
    </row>
    <row r="133" spans="1:3" ht="18" x14ac:dyDescent="0.25">
      <c r="A133" s="200" t="s">
        <v>670</v>
      </c>
      <c r="B133" s="201" t="s">
        <v>671</v>
      </c>
      <c r="C133" s="202" t="e">
        <f>+ROUND(SUMIFS('11.RESUMEN'!$D$12:$CE$12,'11.RESUMEN'!$D$11:$CE$11,A133)+SUMIFS('11.RESUMEN'!$D$18:$CI$18,'11.RESUMEN'!$D$17:$CI$17,A133)+SUMIFS('11.RESUMEN'!$D$25:$CD$25,'11.RESUMEN'!$D$24:$CH$24,A133)+SUMIFS('11.RESUMEN'!$D$29:$CI$29,'11.RESUMEN'!$D$28:$CI$28,A133)+SUMIFS('11.RESUMEN'!$D$34:$CD$34,'11.RESUMEN'!$D$33:$CD$33,A133)+SUMIFS('11.RESUMEN'!$D$39:$CD$39,'11.RESUMEN'!$D$38:$CD$38,A133)+SUMIFS('11.RESUMEN'!$D$44:$CE$44,'11.RESUMEN'!$D$43:$CE$43,A133)+SUMIFS('11.RESUMEN'!$D$50:$CD$50,'11.RESUMEN'!$D$49:$CD$49,A133),0)</f>
        <v>#VALUE!</v>
      </c>
    </row>
    <row r="134" spans="1:3" ht="18" x14ac:dyDescent="0.25">
      <c r="A134" s="200" t="s">
        <v>672</v>
      </c>
      <c r="B134" s="201" t="s">
        <v>673</v>
      </c>
      <c r="C134" s="202" t="e">
        <f>+ROUND(SUMIFS('11.RESUMEN'!$D$12:$CE$12,'11.RESUMEN'!$D$11:$CE$11,A134)+SUMIFS('11.RESUMEN'!$D$18:$CI$18,'11.RESUMEN'!$D$17:$CI$17,A134)+SUMIFS('11.RESUMEN'!$D$25:$CD$25,'11.RESUMEN'!$D$24:$CH$24,A134)+SUMIFS('11.RESUMEN'!$D$29:$CI$29,'11.RESUMEN'!$D$28:$CI$28,A134)+SUMIFS('11.RESUMEN'!$D$34:$CD$34,'11.RESUMEN'!$D$33:$CD$33,A134)+SUMIFS('11.RESUMEN'!$D$39:$CD$39,'11.RESUMEN'!$D$38:$CD$38,A134)+SUMIFS('11.RESUMEN'!$D$44:$CE$44,'11.RESUMEN'!$D$43:$CE$43,A134)+SUMIFS('11.RESUMEN'!$D$50:$CD$50,'11.RESUMEN'!$D$49:$CD$49,A134),0)</f>
        <v>#VALUE!</v>
      </c>
    </row>
    <row r="135" spans="1:3" ht="18" x14ac:dyDescent="0.25">
      <c r="A135" s="200" t="s">
        <v>674</v>
      </c>
      <c r="B135" s="201" t="s">
        <v>675</v>
      </c>
      <c r="C135" s="202" t="e">
        <f>+ROUND(SUMIFS('11.RESUMEN'!$D$12:$CE$12,'11.RESUMEN'!$D$11:$CE$11,A135)+SUMIFS('11.RESUMEN'!$D$18:$CI$18,'11.RESUMEN'!$D$17:$CI$17,A135)+SUMIFS('11.RESUMEN'!$D$25:$CD$25,'11.RESUMEN'!$D$24:$CH$24,A135)+SUMIFS('11.RESUMEN'!$D$29:$CI$29,'11.RESUMEN'!$D$28:$CI$28,A135)+SUMIFS('11.RESUMEN'!$D$34:$CD$34,'11.RESUMEN'!$D$33:$CD$33,A135)+SUMIFS('11.RESUMEN'!$D$39:$CD$39,'11.RESUMEN'!$D$38:$CD$38,A135)+SUMIFS('11.RESUMEN'!$D$44:$CE$44,'11.RESUMEN'!$D$43:$CE$43,A135)+SUMIFS('11.RESUMEN'!$D$50:$CD$50,'11.RESUMEN'!$D$49:$CD$49,A135),0)</f>
        <v>#VALUE!</v>
      </c>
    </row>
    <row r="136" spans="1:3" ht="36" x14ac:dyDescent="0.25">
      <c r="A136" s="200" t="s">
        <v>676</v>
      </c>
      <c r="B136" s="201" t="s">
        <v>677</v>
      </c>
      <c r="C136" s="202" t="e">
        <f>+ROUND(SUMIFS('11.RESUMEN'!$D$12:$CE$12,'11.RESUMEN'!$D$11:$CE$11,A136)+SUMIFS('11.RESUMEN'!$D$18:$CI$18,'11.RESUMEN'!$D$17:$CI$17,A136)+SUMIFS('11.RESUMEN'!$D$25:$CD$25,'11.RESUMEN'!$D$24:$CH$24,A136)+SUMIFS('11.RESUMEN'!$D$29:$CI$29,'11.RESUMEN'!$D$28:$CI$28,A136)+SUMIFS('11.RESUMEN'!$D$34:$CD$34,'11.RESUMEN'!$D$33:$CD$33,A136)+SUMIFS('11.RESUMEN'!$D$39:$CD$39,'11.RESUMEN'!$D$38:$CD$38,A136)+SUMIFS('11.RESUMEN'!$D$44:$CE$44,'11.RESUMEN'!$D$43:$CE$43,A136)+SUMIFS('11.RESUMEN'!$D$50:$CD$50,'11.RESUMEN'!$D$49:$CD$49,A136),0)</f>
        <v>#VALUE!</v>
      </c>
    </row>
    <row r="137" spans="1:3" ht="36" x14ac:dyDescent="0.25">
      <c r="A137" s="200" t="s">
        <v>678</v>
      </c>
      <c r="B137" s="201" t="s">
        <v>679</v>
      </c>
      <c r="C137" s="202" t="e">
        <f>+ROUND(SUMIFS('11.RESUMEN'!$D$12:$CE$12,'11.RESUMEN'!$D$11:$CE$11,A137)+SUMIFS('11.RESUMEN'!$D$18:$CI$18,'11.RESUMEN'!$D$17:$CI$17,A137)+SUMIFS('11.RESUMEN'!$D$25:$CD$25,'11.RESUMEN'!$D$24:$CH$24,A137)+SUMIFS('11.RESUMEN'!$D$29:$CI$29,'11.RESUMEN'!$D$28:$CI$28,A137)+SUMIFS('11.RESUMEN'!$D$34:$CD$34,'11.RESUMEN'!$D$33:$CD$33,A137)+SUMIFS('11.RESUMEN'!$D$39:$CD$39,'11.RESUMEN'!$D$38:$CD$38,A137)+SUMIFS('11.RESUMEN'!$D$44:$CE$44,'11.RESUMEN'!$D$43:$CE$43,A137)+SUMIFS('11.RESUMEN'!$D$50:$CD$50,'11.RESUMEN'!$D$49:$CD$49,A137),0)</f>
        <v>#VALUE!</v>
      </c>
    </row>
    <row r="138" spans="1:3" ht="36" x14ac:dyDescent="0.25">
      <c r="A138" s="200" t="s">
        <v>680</v>
      </c>
      <c r="B138" s="201" t="s">
        <v>681</v>
      </c>
      <c r="C138" s="202" t="e">
        <f>+ROUND(SUMIFS('11.RESUMEN'!$D$12:$CE$12,'11.RESUMEN'!$D$11:$CE$11,A138)+SUMIFS('11.RESUMEN'!$D$18:$CI$18,'11.RESUMEN'!$D$17:$CI$17,A138)+SUMIFS('11.RESUMEN'!$D$25:$CD$25,'11.RESUMEN'!$D$24:$CH$24,A138)+SUMIFS('11.RESUMEN'!$D$29:$CI$29,'11.RESUMEN'!$D$28:$CI$28,A138)+SUMIFS('11.RESUMEN'!$D$34:$CD$34,'11.RESUMEN'!$D$33:$CD$33,A138)+SUMIFS('11.RESUMEN'!$D$39:$CD$39,'11.RESUMEN'!$D$38:$CD$38,A138)+SUMIFS('11.RESUMEN'!$D$44:$CE$44,'11.RESUMEN'!$D$43:$CE$43,A138)+SUMIFS('11.RESUMEN'!$D$50:$CD$50,'11.RESUMEN'!$D$49:$CD$49,A138),0)</f>
        <v>#VALUE!</v>
      </c>
    </row>
    <row r="139" spans="1:3" ht="18" x14ac:dyDescent="0.25">
      <c r="A139" s="200" t="s">
        <v>233</v>
      </c>
      <c r="B139" s="201" t="s">
        <v>682</v>
      </c>
      <c r="C139" s="202" t="e">
        <f>+ROUND(SUMIFS('11.RESUMEN'!$D$12:$CE$12,'11.RESUMEN'!$D$11:$CE$11,A139)+SUMIFS('11.RESUMEN'!$D$18:$CI$18,'11.RESUMEN'!$D$17:$CI$17,A139)+SUMIFS('11.RESUMEN'!$D$25:$CD$25,'11.RESUMEN'!$D$24:$CH$24,A139)+SUMIFS('11.RESUMEN'!$D$29:$CI$29,'11.RESUMEN'!$D$28:$CI$28,A139)+SUMIFS('11.RESUMEN'!$D$34:$CD$34,'11.RESUMEN'!$D$33:$CD$33,A139)+SUMIFS('11.RESUMEN'!$D$39:$CD$39,'11.RESUMEN'!$D$38:$CD$38,A139)+SUMIFS('11.RESUMEN'!$D$44:$CE$44,'11.RESUMEN'!$D$43:$CE$43,A139)+SUMIFS('11.RESUMEN'!$D$50:$CD$50,'11.RESUMEN'!$D$49:$CD$49,A139),0)</f>
        <v>#VALUE!</v>
      </c>
    </row>
    <row r="140" spans="1:3" ht="36" x14ac:dyDescent="0.25">
      <c r="A140" s="200" t="s">
        <v>683</v>
      </c>
      <c r="B140" s="201" t="s">
        <v>684</v>
      </c>
      <c r="C140" s="202" t="e">
        <f>+ROUND(SUMIFS('11.RESUMEN'!$D$12:$CE$12,'11.RESUMEN'!$D$11:$CE$11,A140)+SUMIFS('11.RESUMEN'!$D$18:$CI$18,'11.RESUMEN'!$D$17:$CI$17,A140)+SUMIFS('11.RESUMEN'!$D$25:$CD$25,'11.RESUMEN'!$D$24:$CH$24,A140)+SUMIFS('11.RESUMEN'!$D$29:$CI$29,'11.RESUMEN'!$D$28:$CI$28,A140)+SUMIFS('11.RESUMEN'!$D$34:$CD$34,'11.RESUMEN'!$D$33:$CD$33,A140)+SUMIFS('11.RESUMEN'!$D$39:$CD$39,'11.RESUMEN'!$D$38:$CD$38,A140)+SUMIFS('11.RESUMEN'!$D$44:$CE$44,'11.RESUMEN'!$D$43:$CE$43,A140)+SUMIFS('11.RESUMEN'!$D$50:$CD$50,'11.RESUMEN'!$D$49:$CD$49,A140),0)</f>
        <v>#VALUE!</v>
      </c>
    </row>
    <row r="141" spans="1:3" ht="18" x14ac:dyDescent="0.25">
      <c r="A141" s="200" t="s">
        <v>232</v>
      </c>
      <c r="B141" s="201" t="s">
        <v>685</v>
      </c>
      <c r="C141" s="202" t="e">
        <f>+ROUND(SUMIFS('11.RESUMEN'!$D$12:$CE$12,'11.RESUMEN'!$D$11:$CE$11,A141)+SUMIFS('11.RESUMEN'!$D$18:$CI$18,'11.RESUMEN'!$D$17:$CI$17,A141)+SUMIFS('11.RESUMEN'!$D$25:$CD$25,'11.RESUMEN'!$D$24:$CH$24,A141)+SUMIFS('11.RESUMEN'!$D$29:$CI$29,'11.RESUMEN'!$D$28:$CI$28,A141)+SUMIFS('11.RESUMEN'!$D$34:$CD$34,'11.RESUMEN'!$D$33:$CD$33,A141)+SUMIFS('11.RESUMEN'!$D$39:$CD$39,'11.RESUMEN'!$D$38:$CD$38,A141)+SUMIFS('11.RESUMEN'!$D$44:$CE$44,'11.RESUMEN'!$D$43:$CE$43,A141)+SUMIFS('11.RESUMEN'!$D$50:$CD$50,'11.RESUMEN'!$D$49:$CD$49,A141),0)</f>
        <v>#VALUE!</v>
      </c>
    </row>
    <row r="142" spans="1:3" ht="18" x14ac:dyDescent="0.25">
      <c r="A142" s="197" t="s">
        <v>686</v>
      </c>
      <c r="B142" s="198" t="s">
        <v>687</v>
      </c>
      <c r="C142" s="199" t="e">
        <f>SUM(C143:C177)</f>
        <v>#VALUE!</v>
      </c>
    </row>
    <row r="143" spans="1:3" ht="36" x14ac:dyDescent="0.25">
      <c r="A143" s="200" t="s">
        <v>688</v>
      </c>
      <c r="B143" s="201" t="s">
        <v>689</v>
      </c>
      <c r="C143" s="202" t="e">
        <f>+ROUND(SUMIFS('11.RESUMEN'!$D$12:$CE$12,'11.RESUMEN'!$D$11:$CE$11,A143)+SUMIFS('11.RESUMEN'!$D$18:$CI$18,'11.RESUMEN'!$D$17:$CI$17,A143)+SUMIFS('11.RESUMEN'!$D$25:$CD$25,'11.RESUMEN'!$D$24:$CH$24,A143)+SUMIFS('11.RESUMEN'!$D$29:$CI$29,'11.RESUMEN'!$D$28:$CI$28,A143)+SUMIFS('11.RESUMEN'!$D$34:$CD$34,'11.RESUMEN'!$D$33:$CD$33,A143)+SUMIFS('11.RESUMEN'!$D$39:$CD$39,'11.RESUMEN'!$D$38:$CD$38,A143)+SUMIFS('11.RESUMEN'!$D$44:$CE$44,'11.RESUMEN'!$D$43:$CE$43,A143)+SUMIFS('11.RESUMEN'!$D$50:$CD$50,'11.RESUMEN'!$D$49:$CD$49,A143),0)</f>
        <v>#VALUE!</v>
      </c>
    </row>
    <row r="144" spans="1:3" ht="36" x14ac:dyDescent="0.25">
      <c r="A144" s="200" t="s">
        <v>690</v>
      </c>
      <c r="B144" s="201" t="s">
        <v>691</v>
      </c>
      <c r="C144" s="202" t="e">
        <f>+ROUND(SUMIFS('11.RESUMEN'!$D$12:$CE$12,'11.RESUMEN'!$D$11:$CE$11,A144)+SUMIFS('11.RESUMEN'!$D$18:$CI$18,'11.RESUMEN'!$D$17:$CI$17,A144)+SUMIFS('11.RESUMEN'!$D$25:$CD$25,'11.RESUMEN'!$D$24:$CH$24,A144)+SUMIFS('11.RESUMEN'!$D$29:$CI$29,'11.RESUMEN'!$D$28:$CI$28,A144)+SUMIFS('11.RESUMEN'!$D$34:$CD$34,'11.RESUMEN'!$D$33:$CD$33,A144)+SUMIFS('11.RESUMEN'!$D$39:$CD$39,'11.RESUMEN'!$D$38:$CD$38,A144)+SUMIFS('11.RESUMEN'!$D$44:$CE$44,'11.RESUMEN'!$D$43:$CE$43,A144)+SUMIFS('11.RESUMEN'!$D$50:$CD$50,'11.RESUMEN'!$D$49:$CD$49,A144),0)</f>
        <v>#VALUE!</v>
      </c>
    </row>
    <row r="145" spans="1:3" ht="18" x14ac:dyDescent="0.25">
      <c r="A145" s="200" t="s">
        <v>692</v>
      </c>
      <c r="B145" s="201" t="s">
        <v>693</v>
      </c>
      <c r="C145" s="202" t="e">
        <f>+ROUND(SUMIFS('11.RESUMEN'!$D$12:$CE$12,'11.RESUMEN'!$D$11:$CE$11,A145)+SUMIFS('11.RESUMEN'!$D$18:$CI$18,'11.RESUMEN'!$D$17:$CI$17,A145)+SUMIFS('11.RESUMEN'!$D$25:$CD$25,'11.RESUMEN'!$D$24:$CH$24,A145)+SUMIFS('11.RESUMEN'!$D$29:$CI$29,'11.RESUMEN'!$D$28:$CI$28,A145)+SUMIFS('11.RESUMEN'!$D$34:$CD$34,'11.RESUMEN'!$D$33:$CD$33,A145)+SUMIFS('11.RESUMEN'!$D$39:$CD$39,'11.RESUMEN'!$D$38:$CD$38,A145)+SUMIFS('11.RESUMEN'!$D$44:$CE$44,'11.RESUMEN'!$D$43:$CE$43,A145)+SUMIFS('11.RESUMEN'!$D$50:$CD$50,'11.RESUMEN'!$D$49:$CD$49,A145),0)</f>
        <v>#VALUE!</v>
      </c>
    </row>
    <row r="146" spans="1:3" ht="36" x14ac:dyDescent="0.25">
      <c r="A146" s="200" t="s">
        <v>694</v>
      </c>
      <c r="B146" s="201" t="s">
        <v>695</v>
      </c>
      <c r="C146" s="202" t="e">
        <f>+ROUND(SUMIFS('11.RESUMEN'!$D$12:$CE$12,'11.RESUMEN'!$D$11:$CE$11,A146)+SUMIFS('11.RESUMEN'!$D$18:$CI$18,'11.RESUMEN'!$D$17:$CI$17,A146)+SUMIFS('11.RESUMEN'!$D$25:$CD$25,'11.RESUMEN'!$D$24:$CH$24,A146)+SUMIFS('11.RESUMEN'!$D$29:$CI$29,'11.RESUMEN'!$D$28:$CI$28,A146)+SUMIFS('11.RESUMEN'!$D$34:$CD$34,'11.RESUMEN'!$D$33:$CD$33,A146)+SUMIFS('11.RESUMEN'!$D$39:$CD$39,'11.RESUMEN'!$D$38:$CD$38,A146)+SUMIFS('11.RESUMEN'!$D$44:$CE$44,'11.RESUMEN'!$D$43:$CE$43,A146)+SUMIFS('11.RESUMEN'!$D$50:$CD$50,'11.RESUMEN'!$D$49:$CD$49,A146),0)</f>
        <v>#VALUE!</v>
      </c>
    </row>
    <row r="147" spans="1:3" ht="36" x14ac:dyDescent="0.25">
      <c r="A147" s="200" t="s">
        <v>696</v>
      </c>
      <c r="B147" s="201" t="s">
        <v>697</v>
      </c>
      <c r="C147" s="202" t="e">
        <f>+ROUND(SUMIFS('11.RESUMEN'!$D$12:$CE$12,'11.RESUMEN'!$D$11:$CE$11,A147)+SUMIFS('11.RESUMEN'!$D$18:$CI$18,'11.RESUMEN'!$D$17:$CI$17,A147)+SUMIFS('11.RESUMEN'!$D$25:$CD$25,'11.RESUMEN'!$D$24:$CH$24,A147)+SUMIFS('11.RESUMEN'!$D$29:$CI$29,'11.RESUMEN'!$D$28:$CI$28,A147)+SUMIFS('11.RESUMEN'!$D$34:$CD$34,'11.RESUMEN'!$D$33:$CD$33,A147)+SUMIFS('11.RESUMEN'!$D$39:$CD$39,'11.RESUMEN'!$D$38:$CD$38,A147)+SUMIFS('11.RESUMEN'!$D$44:$CE$44,'11.RESUMEN'!$D$43:$CE$43,A147)+SUMIFS('11.RESUMEN'!$D$50:$CD$50,'11.RESUMEN'!$D$49:$CD$49,A147),0)</f>
        <v>#VALUE!</v>
      </c>
    </row>
    <row r="148" spans="1:3" ht="36" x14ac:dyDescent="0.25">
      <c r="A148" s="200" t="s">
        <v>698</v>
      </c>
      <c r="B148" s="201" t="s">
        <v>699</v>
      </c>
      <c r="C148" s="202" t="e">
        <f>+ROUND(SUMIFS('11.RESUMEN'!$D$12:$CE$12,'11.RESUMEN'!$D$11:$CE$11,A148)+SUMIFS('11.RESUMEN'!$D$18:$CI$18,'11.RESUMEN'!$D$17:$CI$17,A148)+SUMIFS('11.RESUMEN'!$D$25:$CD$25,'11.RESUMEN'!$D$24:$CH$24,A148)+SUMIFS('11.RESUMEN'!$D$29:$CI$29,'11.RESUMEN'!$D$28:$CI$28,A148)+SUMIFS('11.RESUMEN'!$D$34:$CD$34,'11.RESUMEN'!$D$33:$CD$33,A148)+SUMIFS('11.RESUMEN'!$D$39:$CD$39,'11.RESUMEN'!$D$38:$CD$38,A148)+SUMIFS('11.RESUMEN'!$D$44:$CE$44,'11.RESUMEN'!$D$43:$CE$43,A148)+SUMIFS('11.RESUMEN'!$D$50:$CD$50,'11.RESUMEN'!$D$49:$CD$49,A148),0)</f>
        <v>#VALUE!</v>
      </c>
    </row>
    <row r="149" spans="1:3" ht="36" x14ac:dyDescent="0.25">
      <c r="A149" s="200" t="s">
        <v>700</v>
      </c>
      <c r="B149" s="201" t="s">
        <v>701</v>
      </c>
      <c r="C149" s="202" t="e">
        <f>+ROUND(SUMIFS('11.RESUMEN'!$D$12:$CE$12,'11.RESUMEN'!$D$11:$CE$11,A149)+SUMIFS('11.RESUMEN'!$D$18:$CI$18,'11.RESUMEN'!$D$17:$CI$17,A149)+SUMIFS('11.RESUMEN'!$D$25:$CD$25,'11.RESUMEN'!$D$24:$CH$24,A149)+SUMIFS('11.RESUMEN'!$D$29:$CI$29,'11.RESUMEN'!$D$28:$CI$28,A149)+SUMIFS('11.RESUMEN'!$D$34:$CD$34,'11.RESUMEN'!$D$33:$CD$33,A149)+SUMIFS('11.RESUMEN'!$D$39:$CD$39,'11.RESUMEN'!$D$38:$CD$38,A149)+SUMIFS('11.RESUMEN'!$D$44:$CE$44,'11.RESUMEN'!$D$43:$CE$43,A149)+SUMIFS('11.RESUMEN'!$D$50:$CD$50,'11.RESUMEN'!$D$49:$CD$49,A149),0)</f>
        <v>#VALUE!</v>
      </c>
    </row>
    <row r="150" spans="1:3" ht="18" x14ac:dyDescent="0.25">
      <c r="A150" s="200" t="s">
        <v>702</v>
      </c>
      <c r="B150" s="201" t="s">
        <v>703</v>
      </c>
      <c r="C150" s="202" t="e">
        <f>+ROUND(SUMIFS('11.RESUMEN'!$D$12:$CE$12,'11.RESUMEN'!$D$11:$CE$11,A150)+SUMIFS('11.RESUMEN'!$D$18:$CI$18,'11.RESUMEN'!$D$17:$CI$17,A150)+SUMIFS('11.RESUMEN'!$D$25:$CD$25,'11.RESUMEN'!$D$24:$CH$24,A150)+SUMIFS('11.RESUMEN'!$D$29:$CI$29,'11.RESUMEN'!$D$28:$CI$28,A150)+SUMIFS('11.RESUMEN'!$D$34:$CD$34,'11.RESUMEN'!$D$33:$CD$33,A150)+SUMIFS('11.RESUMEN'!$D$39:$CD$39,'11.RESUMEN'!$D$38:$CD$38,A150)+SUMIFS('11.RESUMEN'!$D$44:$CE$44,'11.RESUMEN'!$D$43:$CE$43,A150)+SUMIFS('11.RESUMEN'!$D$50:$CD$50,'11.RESUMEN'!$D$49:$CD$49,A150),0)</f>
        <v>#VALUE!</v>
      </c>
    </row>
    <row r="151" spans="1:3" ht="18" x14ac:dyDescent="0.25">
      <c r="A151" s="200" t="s">
        <v>704</v>
      </c>
      <c r="B151" s="201" t="s">
        <v>705</v>
      </c>
      <c r="C151" s="202" t="e">
        <f>+ROUND(SUMIFS('11.RESUMEN'!$D$12:$CE$12,'11.RESUMEN'!$D$11:$CE$11,A151)+SUMIFS('11.RESUMEN'!$D$18:$CI$18,'11.RESUMEN'!$D$17:$CI$17,A151)+SUMIFS('11.RESUMEN'!$D$25:$CD$25,'11.RESUMEN'!$D$24:$CH$24,A151)+SUMIFS('11.RESUMEN'!$D$29:$CI$29,'11.RESUMEN'!$D$28:$CI$28,A151)+SUMIFS('11.RESUMEN'!$D$34:$CD$34,'11.RESUMEN'!$D$33:$CD$33,A151)+SUMIFS('11.RESUMEN'!$D$39:$CD$39,'11.RESUMEN'!$D$38:$CD$38,A151)+SUMIFS('11.RESUMEN'!$D$44:$CE$44,'11.RESUMEN'!$D$43:$CE$43,A151)+SUMIFS('11.RESUMEN'!$D$50:$CD$50,'11.RESUMEN'!$D$49:$CD$49,A151),0)</f>
        <v>#VALUE!</v>
      </c>
    </row>
    <row r="152" spans="1:3" ht="36" x14ac:dyDescent="0.25">
      <c r="A152" s="200" t="s">
        <v>706</v>
      </c>
      <c r="B152" s="201" t="s">
        <v>707</v>
      </c>
      <c r="C152" s="202" t="e">
        <f>+ROUND(SUMIFS('11.RESUMEN'!$D$12:$CE$12,'11.RESUMEN'!$D$11:$CE$11,A152)+SUMIFS('11.RESUMEN'!$D$18:$CI$18,'11.RESUMEN'!$D$17:$CI$17,A152)+SUMIFS('11.RESUMEN'!$D$25:$CD$25,'11.RESUMEN'!$D$24:$CH$24,A152)+SUMIFS('11.RESUMEN'!$D$29:$CI$29,'11.RESUMEN'!$D$28:$CI$28,A152)+SUMIFS('11.RESUMEN'!$D$34:$CD$34,'11.RESUMEN'!$D$33:$CD$33,A152)+SUMIFS('11.RESUMEN'!$D$39:$CD$39,'11.RESUMEN'!$D$38:$CD$38,A152)+SUMIFS('11.RESUMEN'!$D$44:$CE$44,'11.RESUMEN'!$D$43:$CE$43,A152)+SUMIFS('11.RESUMEN'!$D$50:$CD$50,'11.RESUMEN'!$D$49:$CD$49,A152),0)</f>
        <v>#VALUE!</v>
      </c>
    </row>
    <row r="153" spans="1:3" ht="36" x14ac:dyDescent="0.25">
      <c r="A153" s="200" t="s">
        <v>708</v>
      </c>
      <c r="B153" s="201" t="s">
        <v>709</v>
      </c>
      <c r="C153" s="202" t="e">
        <f>+ROUND(SUMIFS('11.RESUMEN'!$D$12:$CE$12,'11.RESUMEN'!$D$11:$CE$11,A153)+SUMIFS('11.RESUMEN'!$D$18:$CI$18,'11.RESUMEN'!$D$17:$CI$17,A153)+SUMIFS('11.RESUMEN'!$D$25:$CD$25,'11.RESUMEN'!$D$24:$CH$24,A153)+SUMIFS('11.RESUMEN'!$D$29:$CI$29,'11.RESUMEN'!$D$28:$CI$28,A153)+SUMIFS('11.RESUMEN'!$D$34:$CD$34,'11.RESUMEN'!$D$33:$CD$33,A153)+SUMIFS('11.RESUMEN'!$D$39:$CD$39,'11.RESUMEN'!$D$38:$CD$38,A153)+SUMIFS('11.RESUMEN'!$D$44:$CE$44,'11.RESUMEN'!$D$43:$CE$43,A153)+SUMIFS('11.RESUMEN'!$D$50:$CD$50,'11.RESUMEN'!$D$49:$CD$49,A153),0)</f>
        <v>#VALUE!</v>
      </c>
    </row>
    <row r="154" spans="1:3" ht="54" x14ac:dyDescent="0.25">
      <c r="A154" s="200" t="s">
        <v>710</v>
      </c>
      <c r="B154" s="201" t="s">
        <v>711</v>
      </c>
      <c r="C154" s="202" t="e">
        <f>+ROUND(SUMIFS('11.RESUMEN'!$D$12:$CE$12,'11.RESUMEN'!$D$11:$CE$11,A154)+SUMIFS('11.RESUMEN'!$D$18:$CI$18,'11.RESUMEN'!$D$17:$CI$17,A154)+SUMIFS('11.RESUMEN'!$D$25:$CD$25,'11.RESUMEN'!$D$24:$CH$24,A154)+SUMIFS('11.RESUMEN'!$D$29:$CI$29,'11.RESUMEN'!$D$28:$CI$28,A154)+SUMIFS('11.RESUMEN'!$D$34:$CD$34,'11.RESUMEN'!$D$33:$CD$33,A154)+SUMIFS('11.RESUMEN'!$D$39:$CD$39,'11.RESUMEN'!$D$38:$CD$38,A154)+SUMIFS('11.RESUMEN'!$D$44:$CE$44,'11.RESUMEN'!$D$43:$CE$43,A154)+SUMIFS('11.RESUMEN'!$D$50:$CD$50,'11.RESUMEN'!$D$49:$CD$49,A154),0)</f>
        <v>#VALUE!</v>
      </c>
    </row>
    <row r="155" spans="1:3" ht="36" x14ac:dyDescent="0.25">
      <c r="A155" s="200" t="s">
        <v>712</v>
      </c>
      <c r="B155" s="201" t="s">
        <v>713</v>
      </c>
      <c r="C155" s="202" t="e">
        <f>+ROUND(SUMIFS('11.RESUMEN'!$D$12:$CE$12,'11.RESUMEN'!$D$11:$CE$11,A155)+SUMIFS('11.RESUMEN'!$D$18:$CI$18,'11.RESUMEN'!$D$17:$CI$17,A155)+SUMIFS('11.RESUMEN'!$D$25:$CD$25,'11.RESUMEN'!$D$24:$CH$24,A155)+SUMIFS('11.RESUMEN'!$D$29:$CI$29,'11.RESUMEN'!$D$28:$CI$28,A155)+SUMIFS('11.RESUMEN'!$D$34:$CD$34,'11.RESUMEN'!$D$33:$CD$33,A155)+SUMIFS('11.RESUMEN'!$D$39:$CD$39,'11.RESUMEN'!$D$38:$CD$38,A155)+SUMIFS('11.RESUMEN'!$D$44:$CE$44,'11.RESUMEN'!$D$43:$CE$43,A155)+SUMIFS('11.RESUMEN'!$D$50:$CD$50,'11.RESUMEN'!$D$49:$CD$49,A155),0)</f>
        <v>#VALUE!</v>
      </c>
    </row>
    <row r="156" spans="1:3" ht="36" x14ac:dyDescent="0.25">
      <c r="A156" s="200" t="s">
        <v>714</v>
      </c>
      <c r="B156" s="201" t="s">
        <v>715</v>
      </c>
      <c r="C156" s="202" t="e">
        <f>+ROUND(SUMIFS('11.RESUMEN'!$D$12:$CE$12,'11.RESUMEN'!$D$11:$CE$11,A156)+SUMIFS('11.RESUMEN'!$D$18:$CI$18,'11.RESUMEN'!$D$17:$CI$17,A156)+SUMIFS('11.RESUMEN'!$D$25:$CD$25,'11.RESUMEN'!$D$24:$CH$24,A156)+SUMIFS('11.RESUMEN'!$D$29:$CI$29,'11.RESUMEN'!$D$28:$CI$28,A156)+SUMIFS('11.RESUMEN'!$D$34:$CD$34,'11.RESUMEN'!$D$33:$CD$33,A156)+SUMIFS('11.RESUMEN'!$D$39:$CD$39,'11.RESUMEN'!$D$38:$CD$38,A156)+SUMIFS('11.RESUMEN'!$D$44:$CE$44,'11.RESUMEN'!$D$43:$CE$43,A156)+SUMIFS('11.RESUMEN'!$D$50:$CD$50,'11.RESUMEN'!$D$49:$CD$49,A156),0)</f>
        <v>#VALUE!</v>
      </c>
    </row>
    <row r="157" spans="1:3" ht="36" x14ac:dyDescent="0.25">
      <c r="A157" s="200" t="s">
        <v>716</v>
      </c>
      <c r="B157" s="201" t="s">
        <v>717</v>
      </c>
      <c r="C157" s="202" t="e">
        <f>+ROUND(SUMIFS('11.RESUMEN'!$D$12:$CE$12,'11.RESUMEN'!$D$11:$CE$11,A157)+SUMIFS('11.RESUMEN'!$D$18:$CI$18,'11.RESUMEN'!$D$17:$CI$17,A157)+SUMIFS('11.RESUMEN'!$D$25:$CD$25,'11.RESUMEN'!$D$24:$CH$24,A157)+SUMIFS('11.RESUMEN'!$D$29:$CI$29,'11.RESUMEN'!$D$28:$CI$28,A157)+SUMIFS('11.RESUMEN'!$D$34:$CD$34,'11.RESUMEN'!$D$33:$CD$33,A157)+SUMIFS('11.RESUMEN'!$D$39:$CD$39,'11.RESUMEN'!$D$38:$CD$38,A157)+SUMIFS('11.RESUMEN'!$D$44:$CE$44,'11.RESUMEN'!$D$43:$CE$43,A157)+SUMIFS('11.RESUMEN'!$D$50:$CD$50,'11.RESUMEN'!$D$49:$CD$49,A157),0)</f>
        <v>#VALUE!</v>
      </c>
    </row>
    <row r="158" spans="1:3" ht="36" x14ac:dyDescent="0.25">
      <c r="A158" s="200" t="s">
        <v>718</v>
      </c>
      <c r="B158" s="201" t="s">
        <v>719</v>
      </c>
      <c r="C158" s="202" t="e">
        <f>+ROUND(SUMIFS('11.RESUMEN'!$D$12:$CE$12,'11.RESUMEN'!$D$11:$CE$11,A158)+SUMIFS('11.RESUMEN'!$D$18:$CI$18,'11.RESUMEN'!$D$17:$CI$17,A158)+SUMIFS('11.RESUMEN'!$D$25:$CD$25,'11.RESUMEN'!$D$24:$CH$24,A158)+SUMIFS('11.RESUMEN'!$D$29:$CI$29,'11.RESUMEN'!$D$28:$CI$28,A158)+SUMIFS('11.RESUMEN'!$D$34:$CD$34,'11.RESUMEN'!$D$33:$CD$33,A158)+SUMIFS('11.RESUMEN'!$D$39:$CD$39,'11.RESUMEN'!$D$38:$CD$38,A158)+SUMIFS('11.RESUMEN'!$D$44:$CE$44,'11.RESUMEN'!$D$43:$CE$43,A158)+SUMIFS('11.RESUMEN'!$D$50:$CD$50,'11.RESUMEN'!$D$49:$CD$49,A158),0)</f>
        <v>#VALUE!</v>
      </c>
    </row>
    <row r="159" spans="1:3" ht="18" x14ac:dyDescent="0.25">
      <c r="A159" s="200" t="s">
        <v>720</v>
      </c>
      <c r="B159" s="201" t="s">
        <v>721</v>
      </c>
      <c r="C159" s="202" t="e">
        <f>+ROUND(SUMIFS('11.RESUMEN'!$D$12:$CE$12,'11.RESUMEN'!$D$11:$CE$11,A159)+SUMIFS('11.RESUMEN'!$D$18:$CI$18,'11.RESUMEN'!$D$17:$CI$17,A159)+SUMIFS('11.RESUMEN'!$D$25:$CD$25,'11.RESUMEN'!$D$24:$CH$24,A159)+SUMIFS('11.RESUMEN'!$D$29:$CI$29,'11.RESUMEN'!$D$28:$CI$28,A159)+SUMIFS('11.RESUMEN'!$D$34:$CD$34,'11.RESUMEN'!$D$33:$CD$33,A159)+SUMIFS('11.RESUMEN'!$D$39:$CD$39,'11.RESUMEN'!$D$38:$CD$38,A159)+SUMIFS('11.RESUMEN'!$D$44:$CE$44,'11.RESUMEN'!$D$43:$CE$43,A159)+SUMIFS('11.RESUMEN'!$D$50:$CD$50,'11.RESUMEN'!$D$49:$CD$49,A159),0)</f>
        <v>#VALUE!</v>
      </c>
    </row>
    <row r="160" spans="1:3" ht="36" x14ac:dyDescent="0.25">
      <c r="A160" s="200" t="s">
        <v>722</v>
      </c>
      <c r="B160" s="201" t="s">
        <v>723</v>
      </c>
      <c r="C160" s="202" t="e">
        <f>+ROUND(SUMIFS('11.RESUMEN'!$D$12:$CE$12,'11.RESUMEN'!$D$11:$CE$11,A160)+SUMIFS('11.RESUMEN'!$D$18:$CI$18,'11.RESUMEN'!$D$17:$CI$17,A160)+SUMIFS('11.RESUMEN'!$D$25:$CD$25,'11.RESUMEN'!$D$24:$CH$24,A160)+SUMIFS('11.RESUMEN'!$D$29:$CI$29,'11.RESUMEN'!$D$28:$CI$28,A160)+SUMIFS('11.RESUMEN'!$D$34:$CD$34,'11.RESUMEN'!$D$33:$CD$33,A160)+SUMIFS('11.RESUMEN'!$D$39:$CD$39,'11.RESUMEN'!$D$38:$CD$38,A160)+SUMIFS('11.RESUMEN'!$D$44:$CE$44,'11.RESUMEN'!$D$43:$CE$43,A160)+SUMIFS('11.RESUMEN'!$D$50:$CD$50,'11.RESUMEN'!$D$49:$CD$49,A160),0)</f>
        <v>#VALUE!</v>
      </c>
    </row>
    <row r="161" spans="1:3" ht="54" x14ac:dyDescent="0.25">
      <c r="A161" s="200" t="s">
        <v>724</v>
      </c>
      <c r="B161" s="201" t="s">
        <v>725</v>
      </c>
      <c r="C161" s="202" t="e">
        <f>+ROUND(SUMIFS('11.RESUMEN'!$D$12:$CE$12,'11.RESUMEN'!$D$11:$CE$11,A161)+SUMIFS('11.RESUMEN'!$D$18:$CI$18,'11.RESUMEN'!$D$17:$CI$17,A161)+SUMIFS('11.RESUMEN'!$D$25:$CD$25,'11.RESUMEN'!$D$24:$CH$24,A161)+SUMIFS('11.RESUMEN'!$D$29:$CI$29,'11.RESUMEN'!$D$28:$CI$28,A161)+SUMIFS('11.RESUMEN'!$D$34:$CD$34,'11.RESUMEN'!$D$33:$CD$33,A161)+SUMIFS('11.RESUMEN'!$D$39:$CD$39,'11.RESUMEN'!$D$38:$CD$38,A161)+SUMIFS('11.RESUMEN'!$D$44:$CE$44,'11.RESUMEN'!$D$43:$CE$43,A161)+SUMIFS('11.RESUMEN'!$D$50:$CD$50,'11.RESUMEN'!$D$49:$CD$49,A161),0)</f>
        <v>#VALUE!</v>
      </c>
    </row>
    <row r="162" spans="1:3" ht="72" x14ac:dyDescent="0.25">
      <c r="A162" s="200" t="s">
        <v>726</v>
      </c>
      <c r="B162" s="201" t="s">
        <v>727</v>
      </c>
      <c r="C162" s="202" t="e">
        <f>+ROUND(SUMIFS('11.RESUMEN'!$D$12:$CE$12,'11.RESUMEN'!$D$11:$CE$11,A162)+SUMIFS('11.RESUMEN'!$D$18:$CI$18,'11.RESUMEN'!$D$17:$CI$17,A162)+SUMIFS('11.RESUMEN'!$D$25:$CD$25,'11.RESUMEN'!$D$24:$CH$24,A162)+SUMIFS('11.RESUMEN'!$D$29:$CI$29,'11.RESUMEN'!$D$28:$CI$28,A162)+SUMIFS('11.RESUMEN'!$D$34:$CD$34,'11.RESUMEN'!$D$33:$CD$33,A162)+SUMIFS('11.RESUMEN'!$D$39:$CD$39,'11.RESUMEN'!$D$38:$CD$38,A162)+SUMIFS('11.RESUMEN'!$D$44:$CE$44,'11.RESUMEN'!$D$43:$CE$43,A162)+SUMIFS('11.RESUMEN'!$D$50:$CD$50,'11.RESUMEN'!$D$49:$CD$49,A162),0)</f>
        <v>#VALUE!</v>
      </c>
    </row>
    <row r="163" spans="1:3" ht="36" x14ac:dyDescent="0.25">
      <c r="A163" s="200" t="s">
        <v>728</v>
      </c>
      <c r="B163" s="201" t="s">
        <v>729</v>
      </c>
      <c r="C163" s="202" t="e">
        <f>+ROUND(SUMIFS('11.RESUMEN'!$D$12:$CE$12,'11.RESUMEN'!$D$11:$CE$11,A163)+SUMIFS('11.RESUMEN'!$D$18:$CI$18,'11.RESUMEN'!$D$17:$CI$17,A163)+SUMIFS('11.RESUMEN'!$D$25:$CD$25,'11.RESUMEN'!$D$24:$CH$24,A163)+SUMIFS('11.RESUMEN'!$D$29:$CI$29,'11.RESUMEN'!$D$28:$CI$28,A163)+SUMIFS('11.RESUMEN'!$D$34:$CD$34,'11.RESUMEN'!$D$33:$CD$33,A163)+SUMIFS('11.RESUMEN'!$D$39:$CD$39,'11.RESUMEN'!$D$38:$CD$38,A163)+SUMIFS('11.RESUMEN'!$D$44:$CE$44,'11.RESUMEN'!$D$43:$CE$43,A163)+SUMIFS('11.RESUMEN'!$D$50:$CD$50,'11.RESUMEN'!$D$49:$CD$49,A163),0)</f>
        <v>#VALUE!</v>
      </c>
    </row>
    <row r="164" spans="1:3" ht="54" x14ac:dyDescent="0.25">
      <c r="A164" s="200" t="s">
        <v>730</v>
      </c>
      <c r="B164" s="201" t="s">
        <v>731</v>
      </c>
      <c r="C164" s="202" t="e">
        <f>+ROUND(SUMIFS('11.RESUMEN'!$D$12:$CE$12,'11.RESUMEN'!$D$11:$CE$11,A164)+SUMIFS('11.RESUMEN'!$D$18:$CI$18,'11.RESUMEN'!$D$17:$CI$17,A164)+SUMIFS('11.RESUMEN'!$D$25:$CD$25,'11.RESUMEN'!$D$24:$CH$24,A164)+SUMIFS('11.RESUMEN'!$D$29:$CI$29,'11.RESUMEN'!$D$28:$CI$28,A164)+SUMIFS('11.RESUMEN'!$D$34:$CD$34,'11.RESUMEN'!$D$33:$CD$33,A164)+SUMIFS('11.RESUMEN'!$D$39:$CD$39,'11.RESUMEN'!$D$38:$CD$38,A164)+SUMIFS('11.RESUMEN'!$D$44:$CE$44,'11.RESUMEN'!$D$43:$CE$43,A164)+SUMIFS('11.RESUMEN'!$D$50:$CD$50,'11.RESUMEN'!$D$49:$CD$49,A164),0)</f>
        <v>#VALUE!</v>
      </c>
    </row>
    <row r="165" spans="1:3" ht="54" x14ac:dyDescent="0.25">
      <c r="A165" s="200" t="s">
        <v>732</v>
      </c>
      <c r="B165" s="201" t="s">
        <v>733</v>
      </c>
      <c r="C165" s="202" t="e">
        <f>+ROUND(SUMIFS('11.RESUMEN'!$D$12:$CE$12,'11.RESUMEN'!$D$11:$CE$11,A165)+SUMIFS('11.RESUMEN'!$D$18:$CI$18,'11.RESUMEN'!$D$17:$CI$17,A165)+SUMIFS('11.RESUMEN'!$D$25:$CD$25,'11.RESUMEN'!$D$24:$CH$24,A165)+SUMIFS('11.RESUMEN'!$D$29:$CI$29,'11.RESUMEN'!$D$28:$CI$28,A165)+SUMIFS('11.RESUMEN'!$D$34:$CD$34,'11.RESUMEN'!$D$33:$CD$33,A165)+SUMIFS('11.RESUMEN'!$D$39:$CD$39,'11.RESUMEN'!$D$38:$CD$38,A165)+SUMIFS('11.RESUMEN'!$D$44:$CE$44,'11.RESUMEN'!$D$43:$CE$43,A165)+SUMIFS('11.RESUMEN'!$D$50:$CD$50,'11.RESUMEN'!$D$49:$CD$49,A165),0)</f>
        <v>#VALUE!</v>
      </c>
    </row>
    <row r="166" spans="1:3" ht="36" x14ac:dyDescent="0.25">
      <c r="A166" s="200" t="s">
        <v>234</v>
      </c>
      <c r="B166" s="201" t="s">
        <v>734</v>
      </c>
      <c r="C166" s="202" t="e">
        <f>+ROUND(SUMIFS('11.RESUMEN'!$D$12:$CE$12,'11.RESUMEN'!$D$11:$CE$11,A166)+SUMIFS('11.RESUMEN'!$D$18:$CI$18,'11.RESUMEN'!$D$17:$CI$17,A166)+SUMIFS('11.RESUMEN'!$D$25:$CD$25,'11.RESUMEN'!$D$24:$CH$24,A166)+SUMIFS('11.RESUMEN'!$D$29:$CI$29,'11.RESUMEN'!$D$28:$CI$28,A166)+SUMIFS('11.RESUMEN'!$D$34:$CD$34,'11.RESUMEN'!$D$33:$CD$33,A166)+SUMIFS('11.RESUMEN'!$D$39:$CD$39,'11.RESUMEN'!$D$38:$CD$38,A166)+SUMIFS('11.RESUMEN'!$D$44:$CE$44,'11.RESUMEN'!$D$43:$CE$43,A166)+SUMIFS('11.RESUMEN'!$D$50:$CD$50,'11.RESUMEN'!$D$49:$CD$49,A166),0)</f>
        <v>#VALUE!</v>
      </c>
    </row>
    <row r="167" spans="1:3" ht="54" x14ac:dyDescent="0.25">
      <c r="A167" s="200" t="s">
        <v>735</v>
      </c>
      <c r="B167" s="201" t="s">
        <v>736</v>
      </c>
      <c r="C167" s="202" t="e">
        <f>+ROUND(SUMIFS('11.RESUMEN'!$D$12:$CE$12,'11.RESUMEN'!$D$11:$CE$11,A167)+SUMIFS('11.RESUMEN'!$D$18:$CI$18,'11.RESUMEN'!$D$17:$CI$17,A167)+SUMIFS('11.RESUMEN'!$D$25:$CD$25,'11.RESUMEN'!$D$24:$CH$24,A167)+SUMIFS('11.RESUMEN'!$D$29:$CI$29,'11.RESUMEN'!$D$28:$CI$28,A167)+SUMIFS('11.RESUMEN'!$D$34:$CD$34,'11.RESUMEN'!$D$33:$CD$33,A167)+SUMIFS('11.RESUMEN'!$D$39:$CD$39,'11.RESUMEN'!$D$38:$CD$38,A167)+SUMIFS('11.RESUMEN'!$D$44:$CE$44,'11.RESUMEN'!$D$43:$CE$43,A167)+SUMIFS('11.RESUMEN'!$D$50:$CD$50,'11.RESUMEN'!$D$49:$CD$49,A167),0)</f>
        <v>#VALUE!</v>
      </c>
    </row>
    <row r="168" spans="1:3" ht="36" x14ac:dyDescent="0.25">
      <c r="A168" s="200" t="s">
        <v>235</v>
      </c>
      <c r="B168" s="201" t="s">
        <v>737</v>
      </c>
      <c r="C168" s="202" t="e">
        <f>+ROUND(SUMIFS('11.RESUMEN'!$D$12:$CE$12,'11.RESUMEN'!$D$11:$CE$11,A168)+SUMIFS('11.RESUMEN'!$D$18:$CI$18,'11.RESUMEN'!$D$17:$CI$17,A168)+SUMIFS('11.RESUMEN'!$D$25:$CD$25,'11.RESUMEN'!$D$24:$CH$24,A168)+SUMIFS('11.RESUMEN'!$D$29:$CI$29,'11.RESUMEN'!$D$28:$CI$28,A168)+SUMIFS('11.RESUMEN'!$D$34:$CD$34,'11.RESUMEN'!$D$33:$CD$33,A168)+SUMIFS('11.RESUMEN'!$D$39:$CD$39,'11.RESUMEN'!$D$38:$CD$38,A168)+SUMIFS('11.RESUMEN'!$D$44:$CE$44,'11.RESUMEN'!$D$43:$CE$43,A168)+SUMIFS('11.RESUMEN'!$D$50:$CD$50,'11.RESUMEN'!$D$49:$CD$49,A168),0)</f>
        <v>#VALUE!</v>
      </c>
    </row>
    <row r="169" spans="1:3" ht="36" x14ac:dyDescent="0.25">
      <c r="A169" s="200" t="s">
        <v>236</v>
      </c>
      <c r="B169" s="201" t="s">
        <v>738</v>
      </c>
      <c r="C169" s="202" t="e">
        <f>+ROUND(SUMIFS('11.RESUMEN'!$D$12:$CE$12,'11.RESUMEN'!$D$11:$CE$11,A169)+SUMIFS('11.RESUMEN'!$D$18:$CI$18,'11.RESUMEN'!$D$17:$CI$17,A169)+SUMIFS('11.RESUMEN'!$D$25:$CD$25,'11.RESUMEN'!$D$24:$CH$24,A169)+SUMIFS('11.RESUMEN'!$D$29:$CI$29,'11.RESUMEN'!$D$28:$CI$28,A169)+SUMIFS('11.RESUMEN'!$D$34:$CD$34,'11.RESUMEN'!$D$33:$CD$33,A169)+SUMIFS('11.RESUMEN'!$D$39:$CD$39,'11.RESUMEN'!$D$38:$CD$38,A169)+SUMIFS('11.RESUMEN'!$D$44:$CE$44,'11.RESUMEN'!$D$43:$CE$43,A169)+SUMIFS('11.RESUMEN'!$D$50:$CD$50,'11.RESUMEN'!$D$49:$CD$49,A169),0)</f>
        <v>#VALUE!</v>
      </c>
    </row>
    <row r="170" spans="1:3" ht="36" x14ac:dyDescent="0.25">
      <c r="A170" s="200" t="s">
        <v>237</v>
      </c>
      <c r="B170" s="201" t="s">
        <v>739</v>
      </c>
      <c r="C170" s="202" t="e">
        <f>+ROUND(SUMIFS('11.RESUMEN'!$D$12:$CE$12,'11.RESUMEN'!$D$11:$CE$11,A170)+SUMIFS('11.RESUMEN'!$D$18:$CI$18,'11.RESUMEN'!$D$17:$CI$17,A170)+SUMIFS('11.RESUMEN'!$D$25:$CD$25,'11.RESUMEN'!$D$24:$CH$24,A170)+SUMIFS('11.RESUMEN'!$D$29:$CI$29,'11.RESUMEN'!$D$28:$CI$28,A170)+SUMIFS('11.RESUMEN'!$D$34:$CD$34,'11.RESUMEN'!$D$33:$CD$33,A170)+SUMIFS('11.RESUMEN'!$D$39:$CD$39,'11.RESUMEN'!$D$38:$CD$38,A170)+SUMIFS('11.RESUMEN'!$D$44:$CE$44,'11.RESUMEN'!$D$43:$CE$43,A170)+SUMIFS('11.RESUMEN'!$D$50:$CD$50,'11.RESUMEN'!$D$49:$CD$49,A170),0)</f>
        <v>#VALUE!</v>
      </c>
    </row>
    <row r="171" spans="1:3" ht="36" x14ac:dyDescent="0.25">
      <c r="A171" s="200" t="s">
        <v>740</v>
      </c>
      <c r="B171" s="201" t="s">
        <v>741</v>
      </c>
      <c r="C171" s="202" t="e">
        <f>+ROUND(SUMIFS('11.RESUMEN'!$D$12:$CE$12,'11.RESUMEN'!$D$11:$CE$11,A171)+SUMIFS('11.RESUMEN'!$D$18:$CI$18,'11.RESUMEN'!$D$17:$CI$17,A171)+SUMIFS('11.RESUMEN'!$D$25:$CD$25,'11.RESUMEN'!$D$24:$CH$24,A171)+SUMIFS('11.RESUMEN'!$D$29:$CI$29,'11.RESUMEN'!$D$28:$CI$28,A171)+SUMIFS('11.RESUMEN'!$D$34:$CD$34,'11.RESUMEN'!$D$33:$CD$33,A171)+SUMIFS('11.RESUMEN'!$D$39:$CD$39,'11.RESUMEN'!$D$38:$CD$38,A171)+SUMIFS('11.RESUMEN'!$D$44:$CE$44,'11.RESUMEN'!$D$43:$CE$43,A171)+SUMIFS('11.RESUMEN'!$D$50:$CD$50,'11.RESUMEN'!$D$49:$CD$49,A171),0)</f>
        <v>#VALUE!</v>
      </c>
    </row>
    <row r="172" spans="1:3" ht="36" x14ac:dyDescent="0.25">
      <c r="A172" s="200" t="s">
        <v>742</v>
      </c>
      <c r="B172" s="201" t="s">
        <v>743</v>
      </c>
      <c r="C172" s="202" t="e">
        <f>+ROUND(SUMIFS('11.RESUMEN'!$D$12:$CE$12,'11.RESUMEN'!$D$11:$CE$11,A172)+SUMIFS('11.RESUMEN'!$D$18:$CI$18,'11.RESUMEN'!$D$17:$CI$17,A172)+SUMIFS('11.RESUMEN'!$D$25:$CD$25,'11.RESUMEN'!$D$24:$CH$24,A172)+SUMIFS('11.RESUMEN'!$D$29:$CI$29,'11.RESUMEN'!$D$28:$CI$28,A172)+SUMIFS('11.RESUMEN'!$D$34:$CD$34,'11.RESUMEN'!$D$33:$CD$33,A172)+SUMIFS('11.RESUMEN'!$D$39:$CD$39,'11.RESUMEN'!$D$38:$CD$38,A172)+SUMIFS('11.RESUMEN'!$D$44:$CE$44,'11.RESUMEN'!$D$43:$CE$43,A172)+SUMIFS('11.RESUMEN'!$D$50:$CD$50,'11.RESUMEN'!$D$49:$CD$49,A172),0)</f>
        <v>#VALUE!</v>
      </c>
    </row>
    <row r="173" spans="1:3" ht="18" x14ac:dyDescent="0.25">
      <c r="A173" s="200" t="s">
        <v>744</v>
      </c>
      <c r="B173" s="201" t="s">
        <v>745</v>
      </c>
      <c r="C173" s="202" t="e">
        <f>+ROUND(SUMIFS('11.RESUMEN'!$D$12:$CE$12,'11.RESUMEN'!$D$11:$CE$11,A173)+SUMIFS('11.RESUMEN'!$D$18:$CI$18,'11.RESUMEN'!$D$17:$CI$17,A173)+SUMIFS('11.RESUMEN'!$D$25:$CD$25,'11.RESUMEN'!$D$24:$CH$24,A173)+SUMIFS('11.RESUMEN'!$D$29:$CI$29,'11.RESUMEN'!$D$28:$CI$28,A173)+SUMIFS('11.RESUMEN'!$D$34:$CD$34,'11.RESUMEN'!$D$33:$CD$33,A173)+SUMIFS('11.RESUMEN'!$D$39:$CD$39,'11.RESUMEN'!$D$38:$CD$38,A173)+SUMIFS('11.RESUMEN'!$D$44:$CE$44,'11.RESUMEN'!$D$43:$CE$43,A173)+SUMIFS('11.RESUMEN'!$D$50:$CD$50,'11.RESUMEN'!$D$49:$CD$49,A173),0)</f>
        <v>#VALUE!</v>
      </c>
    </row>
    <row r="174" spans="1:3" ht="18" x14ac:dyDescent="0.25">
      <c r="A174" s="200" t="s">
        <v>746</v>
      </c>
      <c r="B174" s="201" t="s">
        <v>747</v>
      </c>
      <c r="C174" s="202" t="e">
        <f>+ROUND(SUMIFS('11.RESUMEN'!$D$12:$CE$12,'11.RESUMEN'!$D$11:$CE$11,A174)+SUMIFS('11.RESUMEN'!$D$18:$CI$18,'11.RESUMEN'!$D$17:$CI$17,A174)+SUMIFS('11.RESUMEN'!$D$25:$CD$25,'11.RESUMEN'!$D$24:$CH$24,A174)+SUMIFS('11.RESUMEN'!$D$29:$CI$29,'11.RESUMEN'!$D$28:$CI$28,A174)+SUMIFS('11.RESUMEN'!$D$34:$CD$34,'11.RESUMEN'!$D$33:$CD$33,A174)+SUMIFS('11.RESUMEN'!$D$39:$CD$39,'11.RESUMEN'!$D$38:$CD$38,A174)+SUMIFS('11.RESUMEN'!$D$44:$CE$44,'11.RESUMEN'!$D$43:$CE$43,A174)+SUMIFS('11.RESUMEN'!$D$50:$CD$50,'11.RESUMEN'!$D$49:$CD$49,A174),0)</f>
        <v>#VALUE!</v>
      </c>
    </row>
    <row r="175" spans="1:3" ht="18" x14ac:dyDescent="0.25">
      <c r="A175" s="200" t="s">
        <v>748</v>
      </c>
      <c r="B175" s="201" t="s">
        <v>749</v>
      </c>
      <c r="C175" s="202" t="e">
        <f>+ROUND(SUMIFS('11.RESUMEN'!$D$12:$CE$12,'11.RESUMEN'!$D$11:$CE$11,A175)+SUMIFS('11.RESUMEN'!$D$18:$CI$18,'11.RESUMEN'!$D$17:$CI$17,A175)+SUMIFS('11.RESUMEN'!$D$25:$CD$25,'11.RESUMEN'!$D$24:$CH$24,A175)+SUMIFS('11.RESUMEN'!$D$29:$CI$29,'11.RESUMEN'!$D$28:$CI$28,A175)+SUMIFS('11.RESUMEN'!$D$34:$CD$34,'11.RESUMEN'!$D$33:$CD$33,A175)+SUMIFS('11.RESUMEN'!$D$39:$CD$39,'11.RESUMEN'!$D$38:$CD$38,A175)+SUMIFS('11.RESUMEN'!$D$44:$CE$44,'11.RESUMEN'!$D$43:$CE$43,A175)+SUMIFS('11.RESUMEN'!$D$50:$CD$50,'11.RESUMEN'!$D$49:$CD$49,A175),0)</f>
        <v>#VALUE!</v>
      </c>
    </row>
    <row r="176" spans="1:3" ht="18" x14ac:dyDescent="0.25">
      <c r="A176" s="200" t="s">
        <v>750</v>
      </c>
      <c r="B176" s="201" t="s">
        <v>751</v>
      </c>
      <c r="C176" s="202" t="e">
        <f>+ROUND(SUMIFS('11.RESUMEN'!$D$12:$CE$12,'11.RESUMEN'!$D$11:$CE$11,A176)+SUMIFS('11.RESUMEN'!$D$18:$CI$18,'11.RESUMEN'!$D$17:$CI$17,A176)+SUMIFS('11.RESUMEN'!$D$25:$CD$25,'11.RESUMEN'!$D$24:$CH$24,A176)+SUMIFS('11.RESUMEN'!$D$29:$CI$29,'11.RESUMEN'!$D$28:$CI$28,A176)+SUMIFS('11.RESUMEN'!$D$34:$CD$34,'11.RESUMEN'!$D$33:$CD$33,A176)+SUMIFS('11.RESUMEN'!$D$39:$CD$39,'11.RESUMEN'!$D$38:$CD$38,A176)+SUMIFS('11.RESUMEN'!$D$44:$CE$44,'11.RESUMEN'!$D$43:$CE$43,A176)+SUMIFS('11.RESUMEN'!$D$50:$CD$50,'11.RESUMEN'!$D$49:$CD$49,A176),0)</f>
        <v>#VALUE!</v>
      </c>
    </row>
    <row r="177" spans="1:3" ht="18" x14ac:dyDescent="0.25">
      <c r="A177" s="200" t="s">
        <v>752</v>
      </c>
      <c r="B177" s="201" t="s">
        <v>753</v>
      </c>
      <c r="C177" s="202" t="e">
        <f>+ROUND(SUMIFS('11.RESUMEN'!$D$12:$CE$12,'11.RESUMEN'!$D$11:$CE$11,A177)+SUMIFS('11.RESUMEN'!$D$18:$CI$18,'11.RESUMEN'!$D$17:$CI$17,A177)+SUMIFS('11.RESUMEN'!$D$25:$CD$25,'11.RESUMEN'!$D$24:$CH$24,A177)+SUMIFS('11.RESUMEN'!$D$29:$CI$29,'11.RESUMEN'!$D$28:$CI$28,A177)+SUMIFS('11.RESUMEN'!$D$34:$CD$34,'11.RESUMEN'!$D$33:$CD$33,A177)+SUMIFS('11.RESUMEN'!$D$39:$CD$39,'11.RESUMEN'!$D$38:$CD$38,A177)+SUMIFS('11.RESUMEN'!$D$44:$CE$44,'11.RESUMEN'!$D$43:$CE$43,A177)+SUMIFS('11.RESUMEN'!$D$50:$CD$50,'11.RESUMEN'!$D$49:$CD$49,A177),0)</f>
        <v>#VALUE!</v>
      </c>
    </row>
    <row r="178" spans="1:3" ht="18" x14ac:dyDescent="0.25">
      <c r="A178" s="197" t="s">
        <v>754</v>
      </c>
      <c r="B178" s="198" t="s">
        <v>755</v>
      </c>
      <c r="C178" s="199" t="e">
        <f>SUM(C179:C245)</f>
        <v>#VALUE!</v>
      </c>
    </row>
    <row r="179" spans="1:3" ht="18" x14ac:dyDescent="0.25">
      <c r="A179" s="200" t="s">
        <v>756</v>
      </c>
      <c r="B179" s="201" t="s">
        <v>757</v>
      </c>
      <c r="C179" s="202" t="e">
        <f>+ROUND(SUMIFS('11.RESUMEN'!$D$12:$CE$12,'11.RESUMEN'!$D$11:$CE$11,A179)+SUMIFS('11.RESUMEN'!$D$18:$CI$18,'11.RESUMEN'!$D$17:$CI$17,A179)+SUMIFS('11.RESUMEN'!$D$25:$CD$25,'11.RESUMEN'!$D$24:$CH$24,A179)+SUMIFS('11.RESUMEN'!$D$29:$CI$29,'11.RESUMEN'!$D$28:$CI$28,A179)+SUMIFS('11.RESUMEN'!$D$34:$CD$34,'11.RESUMEN'!$D$33:$CD$33,A179)+SUMIFS('11.RESUMEN'!$D$39:$CD$39,'11.RESUMEN'!$D$38:$CD$38,A179)+SUMIFS('11.RESUMEN'!$D$44:$CE$44,'11.RESUMEN'!$D$43:$CE$43,A179)+SUMIFS('11.RESUMEN'!$D$50:$CD$50,'11.RESUMEN'!$D$49:$CD$49,A179),0)</f>
        <v>#VALUE!</v>
      </c>
    </row>
    <row r="180" spans="1:3" ht="18" x14ac:dyDescent="0.25">
      <c r="A180" s="200" t="s">
        <v>311</v>
      </c>
      <c r="B180" s="201" t="s">
        <v>758</v>
      </c>
      <c r="C180" s="202" t="e">
        <f>+ROUND(SUMIFS('11.RESUMEN'!$D$12:$CE$12,'11.RESUMEN'!$D$11:$CE$11,A180)+SUMIFS('11.RESUMEN'!$D$18:$CI$18,'11.RESUMEN'!$D$17:$CI$17,A180)+SUMIFS('11.RESUMEN'!$D$25:$CD$25,'11.RESUMEN'!$D$24:$CH$24,A180)+SUMIFS('11.RESUMEN'!$D$29:$CI$29,'11.RESUMEN'!$D$28:$CI$28,A180)+SUMIFS('11.RESUMEN'!$D$34:$CD$34,'11.RESUMEN'!$D$33:$CD$33,A180)+SUMIFS('11.RESUMEN'!$D$39:$CD$39,'11.RESUMEN'!$D$38:$CD$38,A180)+SUMIFS('11.RESUMEN'!$D$44:$CE$44,'11.RESUMEN'!$D$43:$CE$43,A180)+SUMIFS('11.RESUMEN'!$D$50:$CD$50,'11.RESUMEN'!$D$49:$CD$49,A180),0)</f>
        <v>#VALUE!</v>
      </c>
    </row>
    <row r="181" spans="1:3" ht="18" x14ac:dyDescent="0.25">
      <c r="A181" s="200" t="s">
        <v>759</v>
      </c>
      <c r="B181" s="201" t="s">
        <v>760</v>
      </c>
      <c r="C181" s="202" t="e">
        <f>+ROUND(SUMIFS('11.RESUMEN'!$D$12:$CE$12,'11.RESUMEN'!$D$11:$CE$11,A181)+SUMIFS('11.RESUMEN'!$D$18:$CI$18,'11.RESUMEN'!$D$17:$CI$17,A181)+SUMIFS('11.RESUMEN'!$D$25:$CD$25,'11.RESUMEN'!$D$24:$CH$24,A181)+SUMIFS('11.RESUMEN'!$D$29:$CI$29,'11.RESUMEN'!$D$28:$CI$28,A181)+SUMIFS('11.RESUMEN'!$D$34:$CD$34,'11.RESUMEN'!$D$33:$CD$33,A181)+SUMIFS('11.RESUMEN'!$D$39:$CD$39,'11.RESUMEN'!$D$38:$CD$38,A181)+SUMIFS('11.RESUMEN'!$D$44:$CE$44,'11.RESUMEN'!$D$43:$CE$43,A181)+SUMIFS('11.RESUMEN'!$D$50:$CD$50,'11.RESUMEN'!$D$49:$CD$49,A181),0)</f>
        <v>#VALUE!</v>
      </c>
    </row>
    <row r="182" spans="1:3" ht="18" x14ac:dyDescent="0.25">
      <c r="A182" s="200" t="s">
        <v>761</v>
      </c>
      <c r="B182" s="201" t="s">
        <v>762</v>
      </c>
      <c r="C182" s="202" t="e">
        <f>+ROUND(SUMIFS('11.RESUMEN'!$D$12:$CE$12,'11.RESUMEN'!$D$11:$CE$11,A182)+SUMIFS('11.RESUMEN'!$D$18:$CI$18,'11.RESUMEN'!$D$17:$CI$17,A182)+SUMIFS('11.RESUMEN'!$D$25:$CD$25,'11.RESUMEN'!$D$24:$CH$24,A182)+SUMIFS('11.RESUMEN'!$D$29:$CI$29,'11.RESUMEN'!$D$28:$CI$28,A182)+SUMIFS('11.RESUMEN'!$D$34:$CD$34,'11.RESUMEN'!$D$33:$CD$33,A182)+SUMIFS('11.RESUMEN'!$D$39:$CD$39,'11.RESUMEN'!$D$38:$CD$38,A182)+SUMIFS('11.RESUMEN'!$D$44:$CE$44,'11.RESUMEN'!$D$43:$CE$43,A182)+SUMIFS('11.RESUMEN'!$D$50:$CD$50,'11.RESUMEN'!$D$49:$CD$49,A182),0)</f>
        <v>#VALUE!</v>
      </c>
    </row>
    <row r="183" spans="1:3" ht="18" x14ac:dyDescent="0.25">
      <c r="A183" s="200" t="s">
        <v>763</v>
      </c>
      <c r="B183" s="201" t="s">
        <v>764</v>
      </c>
      <c r="C183" s="202" t="e">
        <f>+ROUND(SUMIFS('11.RESUMEN'!$D$12:$CE$12,'11.RESUMEN'!$D$11:$CE$11,A183)+SUMIFS('11.RESUMEN'!$D$18:$CI$18,'11.RESUMEN'!$D$17:$CI$17,A183)+SUMIFS('11.RESUMEN'!$D$25:$CD$25,'11.RESUMEN'!$D$24:$CH$24,A183)+SUMIFS('11.RESUMEN'!$D$29:$CI$29,'11.RESUMEN'!$D$28:$CI$28,A183)+SUMIFS('11.RESUMEN'!$D$34:$CD$34,'11.RESUMEN'!$D$33:$CD$33,A183)+SUMIFS('11.RESUMEN'!$D$39:$CD$39,'11.RESUMEN'!$D$38:$CD$38,A183)+SUMIFS('11.RESUMEN'!$D$44:$CE$44,'11.RESUMEN'!$D$43:$CE$43,A183)+SUMIFS('11.RESUMEN'!$D$50:$CD$50,'11.RESUMEN'!$D$49:$CD$49,A183),0)</f>
        <v>#VALUE!</v>
      </c>
    </row>
    <row r="184" spans="1:3" ht="36" x14ac:dyDescent="0.25">
      <c r="A184" s="200" t="s">
        <v>765</v>
      </c>
      <c r="B184" s="201" t="s">
        <v>766</v>
      </c>
      <c r="C184" s="202" t="e">
        <f>+ROUND(SUMIFS('11.RESUMEN'!$D$12:$CE$12,'11.RESUMEN'!$D$11:$CE$11,A184)+SUMIFS('11.RESUMEN'!$D$18:$CI$18,'11.RESUMEN'!$D$17:$CI$17,A184)+SUMIFS('11.RESUMEN'!$D$25:$CD$25,'11.RESUMEN'!$D$24:$CH$24,A184)+SUMIFS('11.RESUMEN'!$D$29:$CI$29,'11.RESUMEN'!$D$28:$CI$28,A184)+SUMIFS('11.RESUMEN'!$D$34:$CD$34,'11.RESUMEN'!$D$33:$CD$33,A184)+SUMIFS('11.RESUMEN'!$D$39:$CD$39,'11.RESUMEN'!$D$38:$CD$38,A184)+SUMIFS('11.RESUMEN'!$D$44:$CE$44,'11.RESUMEN'!$D$43:$CE$43,A184)+SUMIFS('11.RESUMEN'!$D$50:$CD$50,'11.RESUMEN'!$D$49:$CD$49,A184),0)</f>
        <v>#VALUE!</v>
      </c>
    </row>
    <row r="185" spans="1:3" ht="18" x14ac:dyDescent="0.25">
      <c r="A185" s="200" t="s">
        <v>767</v>
      </c>
      <c r="B185" s="201" t="s">
        <v>768</v>
      </c>
      <c r="C185" s="202" t="e">
        <f>+ROUND(SUMIFS('11.RESUMEN'!$D$12:$CE$12,'11.RESUMEN'!$D$11:$CE$11,A185)+SUMIFS('11.RESUMEN'!$D$18:$CI$18,'11.RESUMEN'!$D$17:$CI$17,A185)+SUMIFS('11.RESUMEN'!$D$25:$CD$25,'11.RESUMEN'!$D$24:$CH$24,A185)+SUMIFS('11.RESUMEN'!$D$29:$CI$29,'11.RESUMEN'!$D$28:$CI$28,A185)+SUMIFS('11.RESUMEN'!$D$34:$CD$34,'11.RESUMEN'!$D$33:$CD$33,A185)+SUMIFS('11.RESUMEN'!$D$39:$CD$39,'11.RESUMEN'!$D$38:$CD$38,A185)+SUMIFS('11.RESUMEN'!$D$44:$CE$44,'11.RESUMEN'!$D$43:$CE$43,A185)+SUMIFS('11.RESUMEN'!$D$50:$CD$50,'11.RESUMEN'!$D$49:$CD$49,A185),0)</f>
        <v>#VALUE!</v>
      </c>
    </row>
    <row r="186" spans="1:3" ht="36" x14ac:dyDescent="0.25">
      <c r="A186" s="200" t="s">
        <v>769</v>
      </c>
      <c r="B186" s="201" t="s">
        <v>770</v>
      </c>
      <c r="C186" s="202" t="e">
        <f>+ROUND(SUMIFS('11.RESUMEN'!$D$12:$CE$12,'11.RESUMEN'!$D$11:$CE$11,A186)+SUMIFS('11.RESUMEN'!$D$18:$CI$18,'11.RESUMEN'!$D$17:$CI$17,A186)+SUMIFS('11.RESUMEN'!$D$25:$CD$25,'11.RESUMEN'!$D$24:$CH$24,A186)+SUMIFS('11.RESUMEN'!$D$29:$CI$29,'11.RESUMEN'!$D$28:$CI$28,A186)+SUMIFS('11.RESUMEN'!$D$34:$CD$34,'11.RESUMEN'!$D$33:$CD$33,A186)+SUMIFS('11.RESUMEN'!$D$39:$CD$39,'11.RESUMEN'!$D$38:$CD$38,A186)+SUMIFS('11.RESUMEN'!$D$44:$CE$44,'11.RESUMEN'!$D$43:$CE$43,A186)+SUMIFS('11.RESUMEN'!$D$50:$CD$50,'11.RESUMEN'!$D$49:$CD$49,A186),0)</f>
        <v>#VALUE!</v>
      </c>
    </row>
    <row r="187" spans="1:3" ht="36" x14ac:dyDescent="0.25">
      <c r="A187" s="200" t="s">
        <v>771</v>
      </c>
      <c r="B187" s="201" t="s">
        <v>772</v>
      </c>
      <c r="C187" s="202" t="e">
        <f>+ROUND(SUMIFS('11.RESUMEN'!$D$12:$CE$12,'11.RESUMEN'!$D$11:$CE$11,A187)+SUMIFS('11.RESUMEN'!$D$18:$CI$18,'11.RESUMEN'!$D$17:$CI$17,A187)+SUMIFS('11.RESUMEN'!$D$25:$CD$25,'11.RESUMEN'!$D$24:$CH$24,A187)+SUMIFS('11.RESUMEN'!$D$29:$CI$29,'11.RESUMEN'!$D$28:$CI$28,A187)+SUMIFS('11.RESUMEN'!$D$34:$CD$34,'11.RESUMEN'!$D$33:$CD$33,A187)+SUMIFS('11.RESUMEN'!$D$39:$CD$39,'11.RESUMEN'!$D$38:$CD$38,A187)+SUMIFS('11.RESUMEN'!$D$44:$CE$44,'11.RESUMEN'!$D$43:$CE$43,A187)+SUMIFS('11.RESUMEN'!$D$50:$CD$50,'11.RESUMEN'!$D$49:$CD$49,A187),0)</f>
        <v>#VALUE!</v>
      </c>
    </row>
    <row r="188" spans="1:3" ht="18" x14ac:dyDescent="0.25">
      <c r="A188" s="200" t="s">
        <v>773</v>
      </c>
      <c r="B188" s="201" t="s">
        <v>774</v>
      </c>
      <c r="C188" s="202" t="e">
        <f>+ROUND(SUMIFS('11.RESUMEN'!$D$12:$CE$12,'11.RESUMEN'!$D$11:$CE$11,A188)+SUMIFS('11.RESUMEN'!$D$18:$CI$18,'11.RESUMEN'!$D$17:$CI$17,A188)+SUMIFS('11.RESUMEN'!$D$25:$CD$25,'11.RESUMEN'!$D$24:$CH$24,A188)+SUMIFS('11.RESUMEN'!$D$29:$CI$29,'11.RESUMEN'!$D$28:$CI$28,A188)+SUMIFS('11.RESUMEN'!$D$34:$CD$34,'11.RESUMEN'!$D$33:$CD$33,A188)+SUMIFS('11.RESUMEN'!$D$39:$CD$39,'11.RESUMEN'!$D$38:$CD$38,A188)+SUMIFS('11.RESUMEN'!$D$44:$CE$44,'11.RESUMEN'!$D$43:$CE$43,A188)+SUMIFS('11.RESUMEN'!$D$50:$CD$50,'11.RESUMEN'!$D$49:$CD$49,A188),0)</f>
        <v>#VALUE!</v>
      </c>
    </row>
    <row r="189" spans="1:3" ht="36" x14ac:dyDescent="0.25">
      <c r="A189" s="200" t="s">
        <v>315</v>
      </c>
      <c r="B189" s="201" t="s">
        <v>775</v>
      </c>
      <c r="C189" s="202" t="e">
        <f>+ROUND(SUMIFS('11.RESUMEN'!$D$12:$CE$12,'11.RESUMEN'!$D$11:$CE$11,A189)+SUMIFS('11.RESUMEN'!$D$18:$CI$18,'11.RESUMEN'!$D$17:$CI$17,A189)+SUMIFS('11.RESUMEN'!$D$25:$CD$25,'11.RESUMEN'!$D$24:$CH$24,A189)+SUMIFS('11.RESUMEN'!$D$29:$CI$29,'11.RESUMEN'!$D$28:$CI$28,A189)+SUMIFS('11.RESUMEN'!$D$34:$CD$34,'11.RESUMEN'!$D$33:$CD$33,A189)+SUMIFS('11.RESUMEN'!$D$39:$CD$39,'11.RESUMEN'!$D$38:$CD$38,A189)+SUMIFS('11.RESUMEN'!$D$44:$CE$44,'11.RESUMEN'!$D$43:$CE$43,A189)+SUMIFS('11.RESUMEN'!$D$50:$CD$50,'11.RESUMEN'!$D$49:$CD$49,A189),0)</f>
        <v>#VALUE!</v>
      </c>
    </row>
    <row r="190" spans="1:3" ht="36" x14ac:dyDescent="0.25">
      <c r="A190" s="200" t="s">
        <v>313</v>
      </c>
      <c r="B190" s="201" t="s">
        <v>776</v>
      </c>
      <c r="C190" s="202" t="e">
        <f>+ROUND(SUMIFS('11.RESUMEN'!$D$12:$CE$12,'11.RESUMEN'!$D$11:$CE$11,A190)+SUMIFS('11.RESUMEN'!$D$18:$CI$18,'11.RESUMEN'!$D$17:$CI$17,A190)+SUMIFS('11.RESUMEN'!$D$25:$CD$25,'11.RESUMEN'!$D$24:$CH$24,A190)+SUMIFS('11.RESUMEN'!$D$29:$CI$29,'11.RESUMEN'!$D$28:$CI$28,A190)+SUMIFS('11.RESUMEN'!$D$34:$CD$34,'11.RESUMEN'!$D$33:$CD$33,A190)+SUMIFS('11.RESUMEN'!$D$39:$CD$39,'11.RESUMEN'!$D$38:$CD$38,A190)+SUMIFS('11.RESUMEN'!$D$44:$CE$44,'11.RESUMEN'!$D$43:$CE$43,A190)+SUMIFS('11.RESUMEN'!$D$50:$CD$50,'11.RESUMEN'!$D$49:$CD$49,A190),0)</f>
        <v>#VALUE!</v>
      </c>
    </row>
    <row r="191" spans="1:3" ht="18" x14ac:dyDescent="0.25">
      <c r="A191" s="200" t="s">
        <v>777</v>
      </c>
      <c r="B191" s="201" t="s">
        <v>778</v>
      </c>
      <c r="C191" s="202" t="e">
        <f>+ROUND(SUMIFS('11.RESUMEN'!$D$12:$CE$12,'11.RESUMEN'!$D$11:$CE$11,A191)+SUMIFS('11.RESUMEN'!$D$18:$CI$18,'11.RESUMEN'!$D$17:$CI$17,A191)+SUMIFS('11.RESUMEN'!$D$25:$CD$25,'11.RESUMEN'!$D$24:$CH$24,A191)+SUMIFS('11.RESUMEN'!$D$29:$CI$29,'11.RESUMEN'!$D$28:$CI$28,A191)+SUMIFS('11.RESUMEN'!$D$34:$CD$34,'11.RESUMEN'!$D$33:$CD$33,A191)+SUMIFS('11.RESUMEN'!$D$39:$CD$39,'11.RESUMEN'!$D$38:$CD$38,A191)+SUMIFS('11.RESUMEN'!$D$44:$CE$44,'11.RESUMEN'!$D$43:$CE$43,A191)+SUMIFS('11.RESUMEN'!$D$50:$CD$50,'11.RESUMEN'!$D$49:$CD$49,A191),0)</f>
        <v>#VALUE!</v>
      </c>
    </row>
    <row r="192" spans="1:3" ht="18" x14ac:dyDescent="0.25">
      <c r="A192" s="200" t="s">
        <v>779</v>
      </c>
      <c r="B192" s="201" t="s">
        <v>780</v>
      </c>
      <c r="C192" s="202" t="e">
        <f>+ROUND(SUMIFS('11.RESUMEN'!$D$12:$CE$12,'11.RESUMEN'!$D$11:$CE$11,A192)+SUMIFS('11.RESUMEN'!$D$18:$CI$18,'11.RESUMEN'!$D$17:$CI$17,A192)+SUMIFS('11.RESUMEN'!$D$25:$CD$25,'11.RESUMEN'!$D$24:$CH$24,A192)+SUMIFS('11.RESUMEN'!$D$29:$CI$29,'11.RESUMEN'!$D$28:$CI$28,A192)+SUMIFS('11.RESUMEN'!$D$34:$CD$34,'11.RESUMEN'!$D$33:$CD$33,A192)+SUMIFS('11.RESUMEN'!$D$39:$CD$39,'11.RESUMEN'!$D$38:$CD$38,A192)+SUMIFS('11.RESUMEN'!$D$44:$CE$44,'11.RESUMEN'!$D$43:$CE$43,A192)+SUMIFS('11.RESUMEN'!$D$50:$CD$50,'11.RESUMEN'!$D$49:$CD$49,A192),0)</f>
        <v>#VALUE!</v>
      </c>
    </row>
    <row r="193" spans="1:3" ht="18" x14ac:dyDescent="0.25">
      <c r="A193" s="200" t="s">
        <v>781</v>
      </c>
      <c r="B193" s="201" t="s">
        <v>782</v>
      </c>
      <c r="C193" s="202" t="e">
        <f>+ROUND(SUMIFS('11.RESUMEN'!$D$12:$CE$12,'11.RESUMEN'!$D$11:$CE$11,A193)+SUMIFS('11.RESUMEN'!$D$18:$CI$18,'11.RESUMEN'!$D$17:$CI$17,A193)+SUMIFS('11.RESUMEN'!$D$25:$CD$25,'11.RESUMEN'!$D$24:$CH$24,A193)+SUMIFS('11.RESUMEN'!$D$29:$CI$29,'11.RESUMEN'!$D$28:$CI$28,A193)+SUMIFS('11.RESUMEN'!$D$34:$CD$34,'11.RESUMEN'!$D$33:$CD$33,A193)+SUMIFS('11.RESUMEN'!$D$39:$CD$39,'11.RESUMEN'!$D$38:$CD$38,A193)+SUMIFS('11.RESUMEN'!$D$44:$CE$44,'11.RESUMEN'!$D$43:$CE$43,A193)+SUMIFS('11.RESUMEN'!$D$50:$CD$50,'11.RESUMEN'!$D$49:$CD$49,A193),0)</f>
        <v>#VALUE!</v>
      </c>
    </row>
    <row r="194" spans="1:3" ht="18" x14ac:dyDescent="0.25">
      <c r="A194" s="200" t="s">
        <v>783</v>
      </c>
      <c r="B194" s="201" t="s">
        <v>784</v>
      </c>
      <c r="C194" s="202" t="e">
        <f>+ROUND(SUMIFS('11.RESUMEN'!$D$12:$CE$12,'11.RESUMEN'!$D$11:$CE$11,A194)+SUMIFS('11.RESUMEN'!$D$18:$CI$18,'11.RESUMEN'!$D$17:$CI$17,A194)+SUMIFS('11.RESUMEN'!$D$25:$CD$25,'11.RESUMEN'!$D$24:$CH$24,A194)+SUMIFS('11.RESUMEN'!$D$29:$CI$29,'11.RESUMEN'!$D$28:$CI$28,A194)+SUMIFS('11.RESUMEN'!$D$34:$CD$34,'11.RESUMEN'!$D$33:$CD$33,A194)+SUMIFS('11.RESUMEN'!$D$39:$CD$39,'11.RESUMEN'!$D$38:$CD$38,A194)+SUMIFS('11.RESUMEN'!$D$44:$CE$44,'11.RESUMEN'!$D$43:$CE$43,A194)+SUMIFS('11.RESUMEN'!$D$50:$CD$50,'11.RESUMEN'!$D$49:$CD$49,A194),0)</f>
        <v>#VALUE!</v>
      </c>
    </row>
    <row r="195" spans="1:3" ht="18" x14ac:dyDescent="0.25">
      <c r="A195" s="200" t="s">
        <v>785</v>
      </c>
      <c r="B195" s="201" t="s">
        <v>786</v>
      </c>
      <c r="C195" s="202" t="e">
        <f>+ROUND(SUMIFS('11.RESUMEN'!$D$12:$CE$12,'11.RESUMEN'!$D$11:$CE$11,A195)+SUMIFS('11.RESUMEN'!$D$18:$CI$18,'11.RESUMEN'!$D$17:$CI$17,A195)+SUMIFS('11.RESUMEN'!$D$25:$CD$25,'11.RESUMEN'!$D$24:$CH$24,A195)+SUMIFS('11.RESUMEN'!$D$29:$CI$29,'11.RESUMEN'!$D$28:$CI$28,A195)+SUMIFS('11.RESUMEN'!$D$34:$CD$34,'11.RESUMEN'!$D$33:$CD$33,A195)+SUMIFS('11.RESUMEN'!$D$39:$CD$39,'11.RESUMEN'!$D$38:$CD$38,A195)+SUMIFS('11.RESUMEN'!$D$44:$CE$44,'11.RESUMEN'!$D$43:$CE$43,A195)+SUMIFS('11.RESUMEN'!$D$50:$CD$50,'11.RESUMEN'!$D$49:$CD$49,A195),0)</f>
        <v>#VALUE!</v>
      </c>
    </row>
    <row r="196" spans="1:3" ht="36" x14ac:dyDescent="0.25">
      <c r="A196" s="200" t="s">
        <v>787</v>
      </c>
      <c r="B196" s="201" t="s">
        <v>788</v>
      </c>
      <c r="C196" s="202" t="e">
        <f>+ROUND(SUMIFS('11.RESUMEN'!$D$12:$CE$12,'11.RESUMEN'!$D$11:$CE$11,A196)+SUMIFS('11.RESUMEN'!$D$18:$CI$18,'11.RESUMEN'!$D$17:$CI$17,A196)+SUMIFS('11.RESUMEN'!$D$25:$CD$25,'11.RESUMEN'!$D$24:$CH$24,A196)+SUMIFS('11.RESUMEN'!$D$29:$CI$29,'11.RESUMEN'!$D$28:$CI$28,A196)+SUMIFS('11.RESUMEN'!$D$34:$CD$34,'11.RESUMEN'!$D$33:$CD$33,A196)+SUMIFS('11.RESUMEN'!$D$39:$CD$39,'11.RESUMEN'!$D$38:$CD$38,A196)+SUMIFS('11.RESUMEN'!$D$44:$CE$44,'11.RESUMEN'!$D$43:$CE$43,A196)+SUMIFS('11.RESUMEN'!$D$50:$CD$50,'11.RESUMEN'!$D$49:$CD$49,A196),0)</f>
        <v>#VALUE!</v>
      </c>
    </row>
    <row r="197" spans="1:3" ht="18" x14ac:dyDescent="0.25">
      <c r="A197" s="200" t="s">
        <v>789</v>
      </c>
      <c r="B197" s="201" t="s">
        <v>790</v>
      </c>
      <c r="C197" s="202" t="e">
        <f>+ROUND(SUMIFS('11.RESUMEN'!$D$12:$CE$12,'11.RESUMEN'!$D$11:$CE$11,A197)+SUMIFS('11.RESUMEN'!$D$18:$CI$18,'11.RESUMEN'!$D$17:$CI$17,A197)+SUMIFS('11.RESUMEN'!$D$25:$CD$25,'11.RESUMEN'!$D$24:$CH$24,A197)+SUMIFS('11.RESUMEN'!$D$29:$CI$29,'11.RESUMEN'!$D$28:$CI$28,A197)+SUMIFS('11.RESUMEN'!$D$34:$CD$34,'11.RESUMEN'!$D$33:$CD$33,A197)+SUMIFS('11.RESUMEN'!$D$39:$CD$39,'11.RESUMEN'!$D$38:$CD$38,A197)+SUMIFS('11.RESUMEN'!$D$44:$CE$44,'11.RESUMEN'!$D$43:$CE$43,A197)+SUMIFS('11.RESUMEN'!$D$50:$CD$50,'11.RESUMEN'!$D$49:$CD$49,A197),0)</f>
        <v>#VALUE!</v>
      </c>
    </row>
    <row r="198" spans="1:3" ht="36" x14ac:dyDescent="0.25">
      <c r="A198" s="200" t="s">
        <v>791</v>
      </c>
      <c r="B198" s="201" t="s">
        <v>792</v>
      </c>
      <c r="C198" s="202" t="e">
        <f>+ROUND(SUMIFS('11.RESUMEN'!$D$12:$CE$12,'11.RESUMEN'!$D$11:$CE$11,A198)+SUMIFS('11.RESUMEN'!$D$18:$CI$18,'11.RESUMEN'!$D$17:$CI$17,A198)+SUMIFS('11.RESUMEN'!$D$25:$CD$25,'11.RESUMEN'!$D$24:$CH$24,A198)+SUMIFS('11.RESUMEN'!$D$29:$CI$29,'11.RESUMEN'!$D$28:$CI$28,A198)+SUMIFS('11.RESUMEN'!$D$34:$CD$34,'11.RESUMEN'!$D$33:$CD$33,A198)+SUMIFS('11.RESUMEN'!$D$39:$CD$39,'11.RESUMEN'!$D$38:$CD$38,A198)+SUMIFS('11.RESUMEN'!$D$44:$CE$44,'11.RESUMEN'!$D$43:$CE$43,A198)+SUMIFS('11.RESUMEN'!$D$50:$CD$50,'11.RESUMEN'!$D$49:$CD$49,A198),0)</f>
        <v>#VALUE!</v>
      </c>
    </row>
    <row r="199" spans="1:3" ht="36" x14ac:dyDescent="0.25">
      <c r="A199" s="200" t="s">
        <v>793</v>
      </c>
      <c r="B199" s="201" t="s">
        <v>794</v>
      </c>
      <c r="C199" s="202" t="e">
        <f>+ROUND(SUMIFS('11.RESUMEN'!$D$12:$CE$12,'11.RESUMEN'!$D$11:$CE$11,A199)+SUMIFS('11.RESUMEN'!$D$18:$CI$18,'11.RESUMEN'!$D$17:$CI$17,A199)+SUMIFS('11.RESUMEN'!$D$25:$CD$25,'11.RESUMEN'!$D$24:$CH$24,A199)+SUMIFS('11.RESUMEN'!$D$29:$CI$29,'11.RESUMEN'!$D$28:$CI$28,A199)+SUMIFS('11.RESUMEN'!$D$34:$CD$34,'11.RESUMEN'!$D$33:$CD$33,A199)+SUMIFS('11.RESUMEN'!$D$39:$CD$39,'11.RESUMEN'!$D$38:$CD$38,A199)+SUMIFS('11.RESUMEN'!$D$44:$CE$44,'11.RESUMEN'!$D$43:$CE$43,A199)+SUMIFS('11.RESUMEN'!$D$50:$CD$50,'11.RESUMEN'!$D$49:$CD$49,A199),0)</f>
        <v>#VALUE!</v>
      </c>
    </row>
    <row r="200" spans="1:3" ht="18" x14ac:dyDescent="0.25">
      <c r="A200" s="200" t="s">
        <v>795</v>
      </c>
      <c r="B200" s="201" t="s">
        <v>796</v>
      </c>
      <c r="C200" s="202" t="e">
        <f>+ROUND(SUMIFS('11.RESUMEN'!$D$12:$CE$12,'11.RESUMEN'!$D$11:$CE$11,A200)+SUMIFS('11.RESUMEN'!$D$18:$CI$18,'11.RESUMEN'!$D$17:$CI$17,A200)+SUMIFS('11.RESUMEN'!$D$25:$CD$25,'11.RESUMEN'!$D$24:$CH$24,A200)+SUMIFS('11.RESUMEN'!$D$29:$CI$29,'11.RESUMEN'!$D$28:$CI$28,A200)+SUMIFS('11.RESUMEN'!$D$34:$CD$34,'11.RESUMEN'!$D$33:$CD$33,A200)+SUMIFS('11.RESUMEN'!$D$39:$CD$39,'11.RESUMEN'!$D$38:$CD$38,A200)+SUMIFS('11.RESUMEN'!$D$44:$CE$44,'11.RESUMEN'!$D$43:$CE$43,A200)+SUMIFS('11.RESUMEN'!$D$50:$CD$50,'11.RESUMEN'!$D$49:$CD$49,A200),0)</f>
        <v>#VALUE!</v>
      </c>
    </row>
    <row r="201" spans="1:3" ht="36" x14ac:dyDescent="0.25">
      <c r="A201" s="200" t="s">
        <v>797</v>
      </c>
      <c r="B201" s="201" t="s">
        <v>798</v>
      </c>
      <c r="C201" s="202" t="e">
        <f>+ROUND(SUMIFS('11.RESUMEN'!$D$12:$CE$12,'11.RESUMEN'!$D$11:$CE$11,A201)+SUMIFS('11.RESUMEN'!$D$18:$CI$18,'11.RESUMEN'!$D$17:$CI$17,A201)+SUMIFS('11.RESUMEN'!$D$25:$CD$25,'11.RESUMEN'!$D$24:$CH$24,A201)+SUMIFS('11.RESUMEN'!$D$29:$CI$29,'11.RESUMEN'!$D$28:$CI$28,A201)+SUMIFS('11.RESUMEN'!$D$34:$CD$34,'11.RESUMEN'!$D$33:$CD$33,A201)+SUMIFS('11.RESUMEN'!$D$39:$CD$39,'11.RESUMEN'!$D$38:$CD$38,A201)+SUMIFS('11.RESUMEN'!$D$44:$CE$44,'11.RESUMEN'!$D$43:$CE$43,A201)+SUMIFS('11.RESUMEN'!$D$50:$CD$50,'11.RESUMEN'!$D$49:$CD$49,A201),0)</f>
        <v>#VALUE!</v>
      </c>
    </row>
    <row r="202" spans="1:3" ht="36" x14ac:dyDescent="0.25">
      <c r="A202" s="200" t="s">
        <v>799</v>
      </c>
      <c r="B202" s="201" t="s">
        <v>800</v>
      </c>
      <c r="C202" s="202" t="e">
        <f>+ROUND(SUMIFS('11.RESUMEN'!$D$12:$CE$12,'11.RESUMEN'!$D$11:$CE$11,A202)+SUMIFS('11.RESUMEN'!$D$18:$CI$18,'11.RESUMEN'!$D$17:$CI$17,A202)+SUMIFS('11.RESUMEN'!$D$25:$CD$25,'11.RESUMEN'!$D$24:$CH$24,A202)+SUMIFS('11.RESUMEN'!$D$29:$CI$29,'11.RESUMEN'!$D$28:$CI$28,A202)+SUMIFS('11.RESUMEN'!$D$34:$CD$34,'11.RESUMEN'!$D$33:$CD$33,A202)+SUMIFS('11.RESUMEN'!$D$39:$CD$39,'11.RESUMEN'!$D$38:$CD$38,A202)+SUMIFS('11.RESUMEN'!$D$44:$CE$44,'11.RESUMEN'!$D$43:$CE$43,A202)+SUMIFS('11.RESUMEN'!$D$50:$CD$50,'11.RESUMEN'!$D$49:$CD$49,A202),0)</f>
        <v>#VALUE!</v>
      </c>
    </row>
    <row r="203" spans="1:3" ht="18" x14ac:dyDescent="0.25">
      <c r="A203" s="200" t="s">
        <v>801</v>
      </c>
      <c r="B203" s="201" t="s">
        <v>802</v>
      </c>
      <c r="C203" s="202" t="e">
        <f>+ROUND(SUMIFS('11.RESUMEN'!$D$12:$CE$12,'11.RESUMEN'!$D$11:$CE$11,A203)+SUMIFS('11.RESUMEN'!$D$18:$CI$18,'11.RESUMEN'!$D$17:$CI$17,A203)+SUMIFS('11.RESUMEN'!$D$25:$CD$25,'11.RESUMEN'!$D$24:$CH$24,A203)+SUMIFS('11.RESUMEN'!$D$29:$CI$29,'11.RESUMEN'!$D$28:$CI$28,A203)+SUMIFS('11.RESUMEN'!$D$34:$CD$34,'11.RESUMEN'!$D$33:$CD$33,A203)+SUMIFS('11.RESUMEN'!$D$39:$CD$39,'11.RESUMEN'!$D$38:$CD$38,A203)+SUMIFS('11.RESUMEN'!$D$44:$CE$44,'11.RESUMEN'!$D$43:$CE$43,A203)+SUMIFS('11.RESUMEN'!$D$50:$CD$50,'11.RESUMEN'!$D$49:$CD$49,A203),0)</f>
        <v>#VALUE!</v>
      </c>
    </row>
    <row r="204" spans="1:3" ht="18" x14ac:dyDescent="0.25">
      <c r="A204" s="200" t="s">
        <v>803</v>
      </c>
      <c r="B204" s="201" t="s">
        <v>804</v>
      </c>
      <c r="C204" s="202" t="e">
        <f>+ROUND(SUMIFS('11.RESUMEN'!$D$12:$CE$12,'11.RESUMEN'!$D$11:$CE$11,A204)+SUMIFS('11.RESUMEN'!$D$18:$CI$18,'11.RESUMEN'!$D$17:$CI$17,A204)+SUMIFS('11.RESUMEN'!$D$25:$CD$25,'11.RESUMEN'!$D$24:$CH$24,A204)+SUMIFS('11.RESUMEN'!$D$29:$CI$29,'11.RESUMEN'!$D$28:$CI$28,A204)+SUMIFS('11.RESUMEN'!$D$34:$CD$34,'11.RESUMEN'!$D$33:$CD$33,A204)+SUMIFS('11.RESUMEN'!$D$39:$CD$39,'11.RESUMEN'!$D$38:$CD$38,A204)+SUMIFS('11.RESUMEN'!$D$44:$CE$44,'11.RESUMEN'!$D$43:$CE$43,A204)+SUMIFS('11.RESUMEN'!$D$50:$CD$50,'11.RESUMEN'!$D$49:$CD$49,A204),0)</f>
        <v>#VALUE!</v>
      </c>
    </row>
    <row r="205" spans="1:3" ht="18" x14ac:dyDescent="0.25">
      <c r="A205" s="200" t="s">
        <v>805</v>
      </c>
      <c r="B205" s="201" t="s">
        <v>806</v>
      </c>
      <c r="C205" s="202" t="e">
        <f>+ROUND(SUMIFS('11.RESUMEN'!$D$12:$CE$12,'11.RESUMEN'!$D$11:$CE$11,A205)+SUMIFS('11.RESUMEN'!$D$18:$CI$18,'11.RESUMEN'!$D$17:$CI$17,A205)+SUMIFS('11.RESUMEN'!$D$25:$CD$25,'11.RESUMEN'!$D$24:$CH$24,A205)+SUMIFS('11.RESUMEN'!$D$29:$CI$29,'11.RESUMEN'!$D$28:$CI$28,A205)+SUMIFS('11.RESUMEN'!$D$34:$CD$34,'11.RESUMEN'!$D$33:$CD$33,A205)+SUMIFS('11.RESUMEN'!$D$39:$CD$39,'11.RESUMEN'!$D$38:$CD$38,A205)+SUMIFS('11.RESUMEN'!$D$44:$CE$44,'11.RESUMEN'!$D$43:$CE$43,A205)+SUMIFS('11.RESUMEN'!$D$50:$CD$50,'11.RESUMEN'!$D$49:$CD$49,A205),0)</f>
        <v>#VALUE!</v>
      </c>
    </row>
    <row r="206" spans="1:3" ht="18" x14ac:dyDescent="0.25">
      <c r="A206" s="200" t="s">
        <v>807</v>
      </c>
      <c r="B206" s="201" t="s">
        <v>808</v>
      </c>
      <c r="C206" s="202" t="e">
        <f>+ROUND(SUMIFS('11.RESUMEN'!$D$12:$CE$12,'11.RESUMEN'!$D$11:$CE$11,A206)+SUMIFS('11.RESUMEN'!$D$18:$CI$18,'11.RESUMEN'!$D$17:$CI$17,A206)+SUMIFS('11.RESUMEN'!$D$25:$CD$25,'11.RESUMEN'!$D$24:$CH$24,A206)+SUMIFS('11.RESUMEN'!$D$29:$CI$29,'11.RESUMEN'!$D$28:$CI$28,A206)+SUMIFS('11.RESUMEN'!$D$34:$CD$34,'11.RESUMEN'!$D$33:$CD$33,A206)+SUMIFS('11.RESUMEN'!$D$39:$CD$39,'11.RESUMEN'!$D$38:$CD$38,A206)+SUMIFS('11.RESUMEN'!$D$44:$CE$44,'11.RESUMEN'!$D$43:$CE$43,A206)+SUMIFS('11.RESUMEN'!$D$50:$CD$50,'11.RESUMEN'!$D$49:$CD$49,A206),0)</f>
        <v>#VALUE!</v>
      </c>
    </row>
    <row r="207" spans="1:3" ht="18" x14ac:dyDescent="0.25">
      <c r="A207" s="200" t="s">
        <v>809</v>
      </c>
      <c r="B207" s="201" t="s">
        <v>810</v>
      </c>
      <c r="C207" s="202" t="e">
        <f>+ROUND(SUMIFS('11.RESUMEN'!$D$12:$CE$12,'11.RESUMEN'!$D$11:$CE$11,A207)+SUMIFS('11.RESUMEN'!$D$18:$CI$18,'11.RESUMEN'!$D$17:$CI$17,A207)+SUMIFS('11.RESUMEN'!$D$25:$CD$25,'11.RESUMEN'!$D$24:$CH$24,A207)+SUMIFS('11.RESUMEN'!$D$29:$CI$29,'11.RESUMEN'!$D$28:$CI$28,A207)+SUMIFS('11.RESUMEN'!$D$34:$CD$34,'11.RESUMEN'!$D$33:$CD$33,A207)+SUMIFS('11.RESUMEN'!$D$39:$CD$39,'11.RESUMEN'!$D$38:$CD$38,A207)+SUMIFS('11.RESUMEN'!$D$44:$CE$44,'11.RESUMEN'!$D$43:$CE$43,A207)+SUMIFS('11.RESUMEN'!$D$50:$CD$50,'11.RESUMEN'!$D$49:$CD$49,A207),0)</f>
        <v>#VALUE!</v>
      </c>
    </row>
    <row r="208" spans="1:3" ht="36" x14ac:dyDescent="0.25">
      <c r="A208" s="200" t="s">
        <v>811</v>
      </c>
      <c r="B208" s="201" t="s">
        <v>812</v>
      </c>
      <c r="C208" s="202" t="e">
        <f>+ROUND(SUMIFS('11.RESUMEN'!$D$12:$CE$12,'11.RESUMEN'!$D$11:$CE$11,A208)+SUMIFS('11.RESUMEN'!$D$18:$CI$18,'11.RESUMEN'!$D$17:$CI$17,A208)+SUMIFS('11.RESUMEN'!$D$25:$CD$25,'11.RESUMEN'!$D$24:$CH$24,A208)+SUMIFS('11.RESUMEN'!$D$29:$CI$29,'11.RESUMEN'!$D$28:$CI$28,A208)+SUMIFS('11.RESUMEN'!$D$34:$CD$34,'11.RESUMEN'!$D$33:$CD$33,A208)+SUMIFS('11.RESUMEN'!$D$39:$CD$39,'11.RESUMEN'!$D$38:$CD$38,A208)+SUMIFS('11.RESUMEN'!$D$44:$CE$44,'11.RESUMEN'!$D$43:$CE$43,A208)+SUMIFS('11.RESUMEN'!$D$50:$CD$50,'11.RESUMEN'!$D$49:$CD$49,A208),0)</f>
        <v>#VALUE!</v>
      </c>
    </row>
    <row r="209" spans="1:3" ht="18" x14ac:dyDescent="0.25">
      <c r="A209" s="200" t="s">
        <v>813</v>
      </c>
      <c r="B209" s="201" t="s">
        <v>814</v>
      </c>
      <c r="C209" s="202" t="e">
        <f>+ROUND(SUMIFS('11.RESUMEN'!$D$12:$CE$12,'11.RESUMEN'!$D$11:$CE$11,A209)+SUMIFS('11.RESUMEN'!$D$18:$CI$18,'11.RESUMEN'!$D$17:$CI$17,A209)+SUMIFS('11.RESUMEN'!$D$25:$CD$25,'11.RESUMEN'!$D$24:$CH$24,A209)+SUMIFS('11.RESUMEN'!$D$29:$CI$29,'11.RESUMEN'!$D$28:$CI$28,A209)+SUMIFS('11.RESUMEN'!$D$34:$CD$34,'11.RESUMEN'!$D$33:$CD$33,A209)+SUMIFS('11.RESUMEN'!$D$39:$CD$39,'11.RESUMEN'!$D$38:$CD$38,A209)+SUMIFS('11.RESUMEN'!$D$44:$CE$44,'11.RESUMEN'!$D$43:$CE$43,A209)+SUMIFS('11.RESUMEN'!$D$50:$CD$50,'11.RESUMEN'!$D$49:$CD$49,A209),0)</f>
        <v>#VALUE!</v>
      </c>
    </row>
    <row r="210" spans="1:3" ht="36" x14ac:dyDescent="0.25">
      <c r="A210" s="200" t="s">
        <v>815</v>
      </c>
      <c r="B210" s="201" t="s">
        <v>816</v>
      </c>
      <c r="C210" s="202" t="e">
        <f>+ROUND(SUMIFS('11.RESUMEN'!$D$12:$CE$12,'11.RESUMEN'!$D$11:$CE$11,A210)+SUMIFS('11.RESUMEN'!$D$18:$CI$18,'11.RESUMEN'!$D$17:$CI$17,A210)+SUMIFS('11.RESUMEN'!$D$25:$CD$25,'11.RESUMEN'!$D$24:$CH$24,A210)+SUMIFS('11.RESUMEN'!$D$29:$CI$29,'11.RESUMEN'!$D$28:$CI$28,A210)+SUMIFS('11.RESUMEN'!$D$34:$CD$34,'11.RESUMEN'!$D$33:$CD$33,A210)+SUMIFS('11.RESUMEN'!$D$39:$CD$39,'11.RESUMEN'!$D$38:$CD$38,A210)+SUMIFS('11.RESUMEN'!$D$44:$CE$44,'11.RESUMEN'!$D$43:$CE$43,A210)+SUMIFS('11.RESUMEN'!$D$50:$CD$50,'11.RESUMEN'!$D$49:$CD$49,A210),0)</f>
        <v>#VALUE!</v>
      </c>
    </row>
    <row r="211" spans="1:3" ht="36" x14ac:dyDescent="0.25">
      <c r="A211" s="200" t="s">
        <v>817</v>
      </c>
      <c r="B211" s="201" t="s">
        <v>818</v>
      </c>
      <c r="C211" s="202" t="e">
        <f>+ROUND(SUMIFS('11.RESUMEN'!$D$12:$CE$12,'11.RESUMEN'!$D$11:$CE$11,A211)+SUMIFS('11.RESUMEN'!$D$18:$CI$18,'11.RESUMEN'!$D$17:$CI$17,A211)+SUMIFS('11.RESUMEN'!$D$25:$CD$25,'11.RESUMEN'!$D$24:$CH$24,A211)+SUMIFS('11.RESUMEN'!$D$29:$CI$29,'11.RESUMEN'!$D$28:$CI$28,A211)+SUMIFS('11.RESUMEN'!$D$34:$CD$34,'11.RESUMEN'!$D$33:$CD$33,A211)+SUMIFS('11.RESUMEN'!$D$39:$CD$39,'11.RESUMEN'!$D$38:$CD$38,A211)+SUMIFS('11.RESUMEN'!$D$44:$CE$44,'11.RESUMEN'!$D$43:$CE$43,A211)+SUMIFS('11.RESUMEN'!$D$50:$CD$50,'11.RESUMEN'!$D$49:$CD$49,A211),0)</f>
        <v>#VALUE!</v>
      </c>
    </row>
    <row r="212" spans="1:3" ht="36" x14ac:dyDescent="0.25">
      <c r="A212" s="200" t="s">
        <v>819</v>
      </c>
      <c r="B212" s="201" t="s">
        <v>820</v>
      </c>
      <c r="C212" s="202" t="e">
        <f>+ROUND(SUMIFS('11.RESUMEN'!$D$12:$CE$12,'11.RESUMEN'!$D$11:$CE$11,A212)+SUMIFS('11.RESUMEN'!$D$18:$CI$18,'11.RESUMEN'!$D$17:$CI$17,A212)+SUMIFS('11.RESUMEN'!$D$25:$CD$25,'11.RESUMEN'!$D$24:$CH$24,A212)+SUMIFS('11.RESUMEN'!$D$29:$CI$29,'11.RESUMEN'!$D$28:$CI$28,A212)+SUMIFS('11.RESUMEN'!$D$34:$CD$34,'11.RESUMEN'!$D$33:$CD$33,A212)+SUMIFS('11.RESUMEN'!$D$39:$CD$39,'11.RESUMEN'!$D$38:$CD$38,A212)+SUMIFS('11.RESUMEN'!$D$44:$CE$44,'11.RESUMEN'!$D$43:$CE$43,A212)+SUMIFS('11.RESUMEN'!$D$50:$CD$50,'11.RESUMEN'!$D$49:$CD$49,A212),0)</f>
        <v>#VALUE!</v>
      </c>
    </row>
    <row r="213" spans="1:3" ht="36" x14ac:dyDescent="0.25">
      <c r="A213" s="200" t="s">
        <v>821</v>
      </c>
      <c r="B213" s="201" t="s">
        <v>822</v>
      </c>
      <c r="C213" s="202" t="e">
        <f>+ROUND(SUMIFS('11.RESUMEN'!$D$12:$CE$12,'11.RESUMEN'!$D$11:$CE$11,A213)+SUMIFS('11.RESUMEN'!$D$18:$CI$18,'11.RESUMEN'!$D$17:$CI$17,A213)+SUMIFS('11.RESUMEN'!$D$25:$CD$25,'11.RESUMEN'!$D$24:$CH$24,A213)+SUMIFS('11.RESUMEN'!$D$29:$CI$29,'11.RESUMEN'!$D$28:$CI$28,A213)+SUMIFS('11.RESUMEN'!$D$34:$CD$34,'11.RESUMEN'!$D$33:$CD$33,A213)+SUMIFS('11.RESUMEN'!$D$39:$CD$39,'11.RESUMEN'!$D$38:$CD$38,A213)+SUMIFS('11.RESUMEN'!$D$44:$CE$44,'11.RESUMEN'!$D$43:$CE$43,A213)+SUMIFS('11.RESUMEN'!$D$50:$CD$50,'11.RESUMEN'!$D$49:$CD$49,A213),0)</f>
        <v>#VALUE!</v>
      </c>
    </row>
    <row r="214" spans="1:3" ht="36" x14ac:dyDescent="0.25">
      <c r="A214" s="200" t="s">
        <v>823</v>
      </c>
      <c r="B214" s="201" t="s">
        <v>824</v>
      </c>
      <c r="C214" s="202" t="e">
        <f>+ROUND(SUMIFS('11.RESUMEN'!$D$12:$CE$12,'11.RESUMEN'!$D$11:$CE$11,A214)+SUMIFS('11.RESUMEN'!$D$18:$CI$18,'11.RESUMEN'!$D$17:$CI$17,A214)+SUMIFS('11.RESUMEN'!$D$25:$CD$25,'11.RESUMEN'!$D$24:$CH$24,A214)+SUMIFS('11.RESUMEN'!$D$29:$CI$29,'11.RESUMEN'!$D$28:$CI$28,A214)+SUMIFS('11.RESUMEN'!$D$34:$CD$34,'11.RESUMEN'!$D$33:$CD$33,A214)+SUMIFS('11.RESUMEN'!$D$39:$CD$39,'11.RESUMEN'!$D$38:$CD$38,A214)+SUMIFS('11.RESUMEN'!$D$44:$CE$44,'11.RESUMEN'!$D$43:$CE$43,A214)+SUMIFS('11.RESUMEN'!$D$50:$CD$50,'11.RESUMEN'!$D$49:$CD$49,A214),0)</f>
        <v>#VALUE!</v>
      </c>
    </row>
    <row r="215" spans="1:3" ht="36" x14ac:dyDescent="0.25">
      <c r="A215" s="200" t="s">
        <v>825</v>
      </c>
      <c r="B215" s="201" t="s">
        <v>826</v>
      </c>
      <c r="C215" s="202" t="e">
        <f>+ROUND(SUMIFS('11.RESUMEN'!$D$12:$CE$12,'11.RESUMEN'!$D$11:$CE$11,A215)+SUMIFS('11.RESUMEN'!$D$18:$CI$18,'11.RESUMEN'!$D$17:$CI$17,A215)+SUMIFS('11.RESUMEN'!$D$25:$CD$25,'11.RESUMEN'!$D$24:$CH$24,A215)+SUMIFS('11.RESUMEN'!$D$29:$CI$29,'11.RESUMEN'!$D$28:$CI$28,A215)+SUMIFS('11.RESUMEN'!$D$34:$CD$34,'11.RESUMEN'!$D$33:$CD$33,A215)+SUMIFS('11.RESUMEN'!$D$39:$CD$39,'11.RESUMEN'!$D$38:$CD$38,A215)+SUMIFS('11.RESUMEN'!$D$44:$CE$44,'11.RESUMEN'!$D$43:$CE$43,A215)+SUMIFS('11.RESUMEN'!$D$50:$CD$50,'11.RESUMEN'!$D$49:$CD$49,A215),0)</f>
        <v>#VALUE!</v>
      </c>
    </row>
    <row r="216" spans="1:3" ht="36" x14ac:dyDescent="0.25">
      <c r="A216" s="200" t="s">
        <v>827</v>
      </c>
      <c r="B216" s="201" t="s">
        <v>828</v>
      </c>
      <c r="C216" s="202" t="e">
        <f>+ROUND(SUMIFS('11.RESUMEN'!$D$12:$CE$12,'11.RESUMEN'!$D$11:$CE$11,A216)+SUMIFS('11.RESUMEN'!$D$18:$CI$18,'11.RESUMEN'!$D$17:$CI$17,A216)+SUMIFS('11.RESUMEN'!$D$25:$CD$25,'11.RESUMEN'!$D$24:$CH$24,A216)+SUMIFS('11.RESUMEN'!$D$29:$CI$29,'11.RESUMEN'!$D$28:$CI$28,A216)+SUMIFS('11.RESUMEN'!$D$34:$CD$34,'11.RESUMEN'!$D$33:$CD$33,A216)+SUMIFS('11.RESUMEN'!$D$39:$CD$39,'11.RESUMEN'!$D$38:$CD$38,A216)+SUMIFS('11.RESUMEN'!$D$44:$CE$44,'11.RESUMEN'!$D$43:$CE$43,A216)+SUMIFS('11.RESUMEN'!$D$50:$CD$50,'11.RESUMEN'!$D$49:$CD$49,A216),0)</f>
        <v>#VALUE!</v>
      </c>
    </row>
    <row r="217" spans="1:3" ht="36" x14ac:dyDescent="0.25">
      <c r="A217" s="200" t="s">
        <v>829</v>
      </c>
      <c r="B217" s="201" t="s">
        <v>830</v>
      </c>
      <c r="C217" s="202" t="e">
        <f>+ROUND(SUMIFS('11.RESUMEN'!$D$12:$CE$12,'11.RESUMEN'!$D$11:$CE$11,A217)+SUMIFS('11.RESUMEN'!$D$18:$CI$18,'11.RESUMEN'!$D$17:$CI$17,A217)+SUMIFS('11.RESUMEN'!$D$25:$CD$25,'11.RESUMEN'!$D$24:$CH$24,A217)+SUMIFS('11.RESUMEN'!$D$29:$CI$29,'11.RESUMEN'!$D$28:$CI$28,A217)+SUMIFS('11.RESUMEN'!$D$34:$CD$34,'11.RESUMEN'!$D$33:$CD$33,A217)+SUMIFS('11.RESUMEN'!$D$39:$CD$39,'11.RESUMEN'!$D$38:$CD$38,A217)+SUMIFS('11.RESUMEN'!$D$44:$CE$44,'11.RESUMEN'!$D$43:$CE$43,A217)+SUMIFS('11.RESUMEN'!$D$50:$CD$50,'11.RESUMEN'!$D$49:$CD$49,A217),0)</f>
        <v>#VALUE!</v>
      </c>
    </row>
    <row r="218" spans="1:3" ht="54" x14ac:dyDescent="0.25">
      <c r="A218" s="200" t="s">
        <v>831</v>
      </c>
      <c r="B218" s="201" t="s">
        <v>832</v>
      </c>
      <c r="C218" s="202" t="e">
        <f>+ROUND(SUMIFS('11.RESUMEN'!$D$12:$CE$12,'11.RESUMEN'!$D$11:$CE$11,A218)+SUMIFS('11.RESUMEN'!$D$18:$CI$18,'11.RESUMEN'!$D$17:$CI$17,A218)+SUMIFS('11.RESUMEN'!$D$25:$CD$25,'11.RESUMEN'!$D$24:$CH$24,A218)+SUMIFS('11.RESUMEN'!$D$29:$CI$29,'11.RESUMEN'!$D$28:$CI$28,A218)+SUMIFS('11.RESUMEN'!$D$34:$CD$34,'11.RESUMEN'!$D$33:$CD$33,A218)+SUMIFS('11.RESUMEN'!$D$39:$CD$39,'11.RESUMEN'!$D$38:$CD$38,A218)+SUMIFS('11.RESUMEN'!$D$44:$CE$44,'11.RESUMEN'!$D$43:$CE$43,A218)+SUMIFS('11.RESUMEN'!$D$50:$CD$50,'11.RESUMEN'!$D$49:$CD$49,A218),0)</f>
        <v>#VALUE!</v>
      </c>
    </row>
    <row r="219" spans="1:3" ht="36" x14ac:dyDescent="0.25">
      <c r="A219" s="200" t="s">
        <v>833</v>
      </c>
      <c r="B219" s="201" t="s">
        <v>834</v>
      </c>
      <c r="C219" s="202" t="e">
        <f>+ROUND(SUMIFS('11.RESUMEN'!$D$12:$CE$12,'11.RESUMEN'!$D$11:$CE$11,A219)+SUMIFS('11.RESUMEN'!$D$18:$CI$18,'11.RESUMEN'!$D$17:$CI$17,A219)+SUMIFS('11.RESUMEN'!$D$25:$CD$25,'11.RESUMEN'!$D$24:$CH$24,A219)+SUMIFS('11.RESUMEN'!$D$29:$CI$29,'11.RESUMEN'!$D$28:$CI$28,A219)+SUMIFS('11.RESUMEN'!$D$34:$CD$34,'11.RESUMEN'!$D$33:$CD$33,A219)+SUMIFS('11.RESUMEN'!$D$39:$CD$39,'11.RESUMEN'!$D$38:$CD$38,A219)+SUMIFS('11.RESUMEN'!$D$44:$CE$44,'11.RESUMEN'!$D$43:$CE$43,A219)+SUMIFS('11.RESUMEN'!$D$50:$CD$50,'11.RESUMEN'!$D$49:$CD$49,A219),0)</f>
        <v>#VALUE!</v>
      </c>
    </row>
    <row r="220" spans="1:3" ht="54" x14ac:dyDescent="0.25">
      <c r="A220" s="200" t="s">
        <v>835</v>
      </c>
      <c r="B220" s="201" t="s">
        <v>836</v>
      </c>
      <c r="C220" s="202" t="e">
        <f>+ROUND(SUMIFS('11.RESUMEN'!$D$12:$CE$12,'11.RESUMEN'!$D$11:$CE$11,A220)+SUMIFS('11.RESUMEN'!$D$18:$CI$18,'11.RESUMEN'!$D$17:$CI$17,A220)+SUMIFS('11.RESUMEN'!$D$25:$CD$25,'11.RESUMEN'!$D$24:$CH$24,A220)+SUMIFS('11.RESUMEN'!$D$29:$CI$29,'11.RESUMEN'!$D$28:$CI$28,A220)+SUMIFS('11.RESUMEN'!$D$34:$CD$34,'11.RESUMEN'!$D$33:$CD$33,A220)+SUMIFS('11.RESUMEN'!$D$39:$CD$39,'11.RESUMEN'!$D$38:$CD$38,A220)+SUMIFS('11.RESUMEN'!$D$44:$CE$44,'11.RESUMEN'!$D$43:$CE$43,A220)+SUMIFS('11.RESUMEN'!$D$50:$CD$50,'11.RESUMEN'!$D$49:$CD$49,A220),0)</f>
        <v>#VALUE!</v>
      </c>
    </row>
    <row r="221" spans="1:3" ht="36" x14ac:dyDescent="0.25">
      <c r="A221" s="200" t="s">
        <v>837</v>
      </c>
      <c r="B221" s="201" t="s">
        <v>838</v>
      </c>
      <c r="C221" s="202" t="e">
        <f>+ROUND(SUMIFS('11.RESUMEN'!$D$12:$CE$12,'11.RESUMEN'!$D$11:$CE$11,A221)+SUMIFS('11.RESUMEN'!$D$18:$CI$18,'11.RESUMEN'!$D$17:$CI$17,A221)+SUMIFS('11.RESUMEN'!$D$25:$CD$25,'11.RESUMEN'!$D$24:$CH$24,A221)+SUMIFS('11.RESUMEN'!$D$29:$CI$29,'11.RESUMEN'!$D$28:$CI$28,A221)+SUMIFS('11.RESUMEN'!$D$34:$CD$34,'11.RESUMEN'!$D$33:$CD$33,A221)+SUMIFS('11.RESUMEN'!$D$39:$CD$39,'11.RESUMEN'!$D$38:$CD$38,A221)+SUMIFS('11.RESUMEN'!$D$44:$CE$44,'11.RESUMEN'!$D$43:$CE$43,A221)+SUMIFS('11.RESUMEN'!$D$50:$CD$50,'11.RESUMEN'!$D$49:$CD$49,A221),0)</f>
        <v>#VALUE!</v>
      </c>
    </row>
    <row r="222" spans="1:3" ht="18" x14ac:dyDescent="0.25">
      <c r="A222" s="200" t="s">
        <v>839</v>
      </c>
      <c r="B222" s="201" t="s">
        <v>840</v>
      </c>
      <c r="C222" s="202" t="e">
        <f>+ROUND(SUMIFS('11.RESUMEN'!$D$12:$CE$12,'11.RESUMEN'!$D$11:$CE$11,A222)+SUMIFS('11.RESUMEN'!$D$18:$CI$18,'11.RESUMEN'!$D$17:$CI$17,A222)+SUMIFS('11.RESUMEN'!$D$25:$CD$25,'11.RESUMEN'!$D$24:$CH$24,A222)+SUMIFS('11.RESUMEN'!$D$29:$CI$29,'11.RESUMEN'!$D$28:$CI$28,A222)+SUMIFS('11.RESUMEN'!$D$34:$CD$34,'11.RESUMEN'!$D$33:$CD$33,A222)+SUMIFS('11.RESUMEN'!$D$39:$CD$39,'11.RESUMEN'!$D$38:$CD$38,A222)+SUMIFS('11.RESUMEN'!$D$44:$CE$44,'11.RESUMEN'!$D$43:$CE$43,A222)+SUMIFS('11.RESUMEN'!$D$50:$CD$50,'11.RESUMEN'!$D$49:$CD$49,A222),0)</f>
        <v>#VALUE!</v>
      </c>
    </row>
    <row r="223" spans="1:3" ht="36" x14ac:dyDescent="0.25">
      <c r="A223" s="200" t="s">
        <v>841</v>
      </c>
      <c r="B223" s="201" t="s">
        <v>842</v>
      </c>
      <c r="C223" s="202" t="e">
        <f>+ROUND(SUMIFS('11.RESUMEN'!$D$12:$CE$12,'11.RESUMEN'!$D$11:$CE$11,A223)+SUMIFS('11.RESUMEN'!$D$18:$CI$18,'11.RESUMEN'!$D$17:$CI$17,A223)+SUMIFS('11.RESUMEN'!$D$25:$CD$25,'11.RESUMEN'!$D$24:$CH$24,A223)+SUMIFS('11.RESUMEN'!$D$29:$CI$29,'11.RESUMEN'!$D$28:$CI$28,A223)+SUMIFS('11.RESUMEN'!$D$34:$CD$34,'11.RESUMEN'!$D$33:$CD$33,A223)+SUMIFS('11.RESUMEN'!$D$39:$CD$39,'11.RESUMEN'!$D$38:$CD$38,A223)+SUMIFS('11.RESUMEN'!$D$44:$CE$44,'11.RESUMEN'!$D$43:$CE$43,A223)+SUMIFS('11.RESUMEN'!$D$50:$CD$50,'11.RESUMEN'!$D$49:$CD$49,A223),0)</f>
        <v>#VALUE!</v>
      </c>
    </row>
    <row r="224" spans="1:3" ht="18" x14ac:dyDescent="0.25">
      <c r="A224" s="200" t="s">
        <v>843</v>
      </c>
      <c r="B224" s="201" t="s">
        <v>844</v>
      </c>
      <c r="C224" s="202" t="e">
        <f>+ROUND(SUMIFS('11.RESUMEN'!$D$12:$CE$12,'11.RESUMEN'!$D$11:$CE$11,A224)+SUMIFS('11.RESUMEN'!$D$18:$CI$18,'11.RESUMEN'!$D$17:$CI$17,A224)+SUMIFS('11.RESUMEN'!$D$25:$CD$25,'11.RESUMEN'!$D$24:$CH$24,A224)+SUMIFS('11.RESUMEN'!$D$29:$CI$29,'11.RESUMEN'!$D$28:$CI$28,A224)+SUMIFS('11.RESUMEN'!$D$34:$CD$34,'11.RESUMEN'!$D$33:$CD$33,A224)+SUMIFS('11.RESUMEN'!$D$39:$CD$39,'11.RESUMEN'!$D$38:$CD$38,A224)+SUMIFS('11.RESUMEN'!$D$44:$CE$44,'11.RESUMEN'!$D$43:$CE$43,A224)+SUMIFS('11.RESUMEN'!$D$50:$CD$50,'11.RESUMEN'!$D$49:$CD$49,A224),0)</f>
        <v>#VALUE!</v>
      </c>
    </row>
    <row r="225" spans="1:3" ht="36" x14ac:dyDescent="0.25">
      <c r="A225" s="200" t="s">
        <v>845</v>
      </c>
      <c r="B225" s="201" t="s">
        <v>846</v>
      </c>
      <c r="C225" s="202" t="e">
        <f>+ROUND(SUMIFS('11.RESUMEN'!$D$12:$CE$12,'11.RESUMEN'!$D$11:$CE$11,A225)+SUMIFS('11.RESUMEN'!$D$18:$CI$18,'11.RESUMEN'!$D$17:$CI$17,A225)+SUMIFS('11.RESUMEN'!$D$25:$CD$25,'11.RESUMEN'!$D$24:$CH$24,A225)+SUMIFS('11.RESUMEN'!$D$29:$CI$29,'11.RESUMEN'!$D$28:$CI$28,A225)+SUMIFS('11.RESUMEN'!$D$34:$CD$34,'11.RESUMEN'!$D$33:$CD$33,A225)+SUMIFS('11.RESUMEN'!$D$39:$CD$39,'11.RESUMEN'!$D$38:$CD$38,A225)+SUMIFS('11.RESUMEN'!$D$44:$CE$44,'11.RESUMEN'!$D$43:$CE$43,A225)+SUMIFS('11.RESUMEN'!$D$50:$CD$50,'11.RESUMEN'!$D$49:$CD$49,A225),0)</f>
        <v>#VALUE!</v>
      </c>
    </row>
    <row r="226" spans="1:3" ht="36" x14ac:dyDescent="0.25">
      <c r="A226" s="200" t="s">
        <v>238</v>
      </c>
      <c r="B226" s="201" t="s">
        <v>847</v>
      </c>
      <c r="C226" s="202" t="e">
        <f>+ROUND(SUMIFS('11.RESUMEN'!$D$12:$CE$12,'11.RESUMEN'!$D$11:$CE$11,A226)+SUMIFS('11.RESUMEN'!$D$18:$CI$18,'11.RESUMEN'!$D$17:$CI$17,A226)+SUMIFS('11.RESUMEN'!$D$25:$CD$25,'11.RESUMEN'!$D$24:$CH$24,A226)+SUMIFS('11.RESUMEN'!$D$29:$CI$29,'11.RESUMEN'!$D$28:$CI$28,A226)+SUMIFS('11.RESUMEN'!$D$34:$CD$34,'11.RESUMEN'!$D$33:$CD$33,A226)+SUMIFS('11.RESUMEN'!$D$39:$CD$39,'11.RESUMEN'!$D$38:$CD$38,A226)+SUMIFS('11.RESUMEN'!$D$44:$CE$44,'11.RESUMEN'!$D$43:$CE$43,A226)+SUMIFS('11.RESUMEN'!$D$50:$CD$50,'11.RESUMEN'!$D$49:$CD$49,A226),0)</f>
        <v>#VALUE!</v>
      </c>
    </row>
    <row r="227" spans="1:3" ht="36" x14ac:dyDescent="0.25">
      <c r="A227" s="200" t="s">
        <v>240</v>
      </c>
      <c r="B227" s="201" t="s">
        <v>848</v>
      </c>
      <c r="C227" s="202" t="e">
        <f>+ROUND(SUMIFS('11.RESUMEN'!$D$12:$CE$12,'11.RESUMEN'!$D$11:$CE$11,A227)+SUMIFS('11.RESUMEN'!$D$18:$CI$18,'11.RESUMEN'!$D$17:$CI$17,A227)+SUMIFS('11.RESUMEN'!$D$25:$CD$25,'11.RESUMEN'!$D$24:$CH$24,A227)+SUMIFS('11.RESUMEN'!$D$29:$CI$29,'11.RESUMEN'!$D$28:$CI$28,A227)+SUMIFS('11.RESUMEN'!$D$34:$CD$34,'11.RESUMEN'!$D$33:$CD$33,A227)+SUMIFS('11.RESUMEN'!$D$39:$CD$39,'11.RESUMEN'!$D$38:$CD$38,A227)+SUMIFS('11.RESUMEN'!$D$44:$CE$44,'11.RESUMEN'!$D$43:$CE$43,A227)+SUMIFS('11.RESUMEN'!$D$50:$CD$50,'11.RESUMEN'!$D$49:$CD$49,A227),0)</f>
        <v>#VALUE!</v>
      </c>
    </row>
    <row r="228" spans="1:3" ht="18" x14ac:dyDescent="0.25">
      <c r="A228" s="200" t="s">
        <v>849</v>
      </c>
      <c r="B228" s="201" t="s">
        <v>850</v>
      </c>
      <c r="C228" s="202" t="e">
        <f>+ROUND(SUMIFS('11.RESUMEN'!$D$12:$CE$12,'11.RESUMEN'!$D$11:$CE$11,A228)+SUMIFS('11.RESUMEN'!$D$18:$CI$18,'11.RESUMEN'!$D$17:$CI$17,A228)+SUMIFS('11.RESUMEN'!$D$25:$CD$25,'11.RESUMEN'!$D$24:$CH$24,A228)+SUMIFS('11.RESUMEN'!$D$29:$CI$29,'11.RESUMEN'!$D$28:$CI$28,A228)+SUMIFS('11.RESUMEN'!$D$34:$CD$34,'11.RESUMEN'!$D$33:$CD$33,A228)+SUMIFS('11.RESUMEN'!$D$39:$CD$39,'11.RESUMEN'!$D$38:$CD$38,A228)+SUMIFS('11.RESUMEN'!$D$44:$CE$44,'11.RESUMEN'!$D$43:$CE$43,A228)+SUMIFS('11.RESUMEN'!$D$50:$CD$50,'11.RESUMEN'!$D$49:$CD$49,A228),0)</f>
        <v>#VALUE!</v>
      </c>
    </row>
    <row r="229" spans="1:3" ht="18" x14ac:dyDescent="0.25">
      <c r="A229" s="200" t="s">
        <v>851</v>
      </c>
      <c r="B229" s="201" t="s">
        <v>852</v>
      </c>
      <c r="C229" s="202" t="e">
        <f>+ROUND(SUMIFS('11.RESUMEN'!$D$12:$CE$12,'11.RESUMEN'!$D$11:$CE$11,A229)+SUMIFS('11.RESUMEN'!$D$18:$CI$18,'11.RESUMEN'!$D$17:$CI$17,A229)+SUMIFS('11.RESUMEN'!$D$25:$CD$25,'11.RESUMEN'!$D$24:$CH$24,A229)+SUMIFS('11.RESUMEN'!$D$29:$CI$29,'11.RESUMEN'!$D$28:$CI$28,A229)+SUMIFS('11.RESUMEN'!$D$34:$CD$34,'11.RESUMEN'!$D$33:$CD$33,A229)+SUMIFS('11.RESUMEN'!$D$39:$CD$39,'11.RESUMEN'!$D$38:$CD$38,A229)+SUMIFS('11.RESUMEN'!$D$44:$CE$44,'11.RESUMEN'!$D$43:$CE$43,A229)+SUMIFS('11.RESUMEN'!$D$50:$CD$50,'11.RESUMEN'!$D$49:$CD$49,A229),0)</f>
        <v>#VALUE!</v>
      </c>
    </row>
    <row r="230" spans="1:3" ht="18" x14ac:dyDescent="0.25">
      <c r="A230" s="200" t="s">
        <v>853</v>
      </c>
      <c r="B230" s="201" t="s">
        <v>854</v>
      </c>
      <c r="C230" s="202" t="e">
        <f>+ROUND(SUMIFS('11.RESUMEN'!$D$12:$CE$12,'11.RESUMEN'!$D$11:$CE$11,A230)+SUMIFS('11.RESUMEN'!$D$18:$CI$18,'11.RESUMEN'!$D$17:$CI$17,A230)+SUMIFS('11.RESUMEN'!$D$25:$CD$25,'11.RESUMEN'!$D$24:$CH$24,A230)+SUMIFS('11.RESUMEN'!$D$29:$CI$29,'11.RESUMEN'!$D$28:$CI$28,A230)+SUMIFS('11.RESUMEN'!$D$34:$CD$34,'11.RESUMEN'!$D$33:$CD$33,A230)+SUMIFS('11.RESUMEN'!$D$39:$CD$39,'11.RESUMEN'!$D$38:$CD$38,A230)+SUMIFS('11.RESUMEN'!$D$44:$CE$44,'11.RESUMEN'!$D$43:$CE$43,A230)+SUMIFS('11.RESUMEN'!$D$50:$CD$50,'11.RESUMEN'!$D$49:$CD$49,A230),0)</f>
        <v>#VALUE!</v>
      </c>
    </row>
    <row r="231" spans="1:3" ht="18" x14ac:dyDescent="0.25">
      <c r="A231" s="200" t="s">
        <v>855</v>
      </c>
      <c r="B231" s="201" t="s">
        <v>856</v>
      </c>
      <c r="C231" s="202" t="e">
        <f>+ROUND(SUMIFS('11.RESUMEN'!$D$12:$CE$12,'11.RESUMEN'!$D$11:$CE$11,A231)+SUMIFS('11.RESUMEN'!$D$18:$CI$18,'11.RESUMEN'!$D$17:$CI$17,A231)+SUMIFS('11.RESUMEN'!$D$25:$CD$25,'11.RESUMEN'!$D$24:$CH$24,A231)+SUMIFS('11.RESUMEN'!$D$29:$CI$29,'11.RESUMEN'!$D$28:$CI$28,A231)+SUMIFS('11.RESUMEN'!$D$34:$CD$34,'11.RESUMEN'!$D$33:$CD$33,A231)+SUMIFS('11.RESUMEN'!$D$39:$CD$39,'11.RESUMEN'!$D$38:$CD$38,A231)+SUMIFS('11.RESUMEN'!$D$44:$CE$44,'11.RESUMEN'!$D$43:$CE$43,A231)+SUMIFS('11.RESUMEN'!$D$50:$CD$50,'11.RESUMEN'!$D$49:$CD$49,A231),0)</f>
        <v>#VALUE!</v>
      </c>
    </row>
    <row r="232" spans="1:3" ht="18" x14ac:dyDescent="0.25">
      <c r="A232" s="200" t="s">
        <v>857</v>
      </c>
      <c r="B232" s="201" t="s">
        <v>858</v>
      </c>
      <c r="C232" s="202" t="e">
        <f>+ROUND(SUMIFS('11.RESUMEN'!$D$12:$CE$12,'11.RESUMEN'!$D$11:$CE$11,A232)+SUMIFS('11.RESUMEN'!$D$18:$CI$18,'11.RESUMEN'!$D$17:$CI$17,A232)+SUMIFS('11.RESUMEN'!$D$25:$CD$25,'11.RESUMEN'!$D$24:$CH$24,A232)+SUMIFS('11.RESUMEN'!$D$29:$CI$29,'11.RESUMEN'!$D$28:$CI$28,A232)+SUMIFS('11.RESUMEN'!$D$34:$CD$34,'11.RESUMEN'!$D$33:$CD$33,A232)+SUMIFS('11.RESUMEN'!$D$39:$CD$39,'11.RESUMEN'!$D$38:$CD$38,A232)+SUMIFS('11.RESUMEN'!$D$44:$CE$44,'11.RESUMEN'!$D$43:$CE$43,A232)+SUMIFS('11.RESUMEN'!$D$50:$CD$50,'11.RESUMEN'!$D$49:$CD$49,A232),0)</f>
        <v>#VALUE!</v>
      </c>
    </row>
    <row r="233" spans="1:3" ht="36" x14ac:dyDescent="0.25">
      <c r="A233" s="200" t="s">
        <v>859</v>
      </c>
      <c r="B233" s="201" t="s">
        <v>860</v>
      </c>
      <c r="C233" s="202" t="e">
        <f>+ROUND(SUMIFS('11.RESUMEN'!$D$12:$CE$12,'11.RESUMEN'!$D$11:$CE$11,A233)+SUMIFS('11.RESUMEN'!$D$18:$CI$18,'11.RESUMEN'!$D$17:$CI$17,A233)+SUMIFS('11.RESUMEN'!$D$25:$CD$25,'11.RESUMEN'!$D$24:$CH$24,A233)+SUMIFS('11.RESUMEN'!$D$29:$CI$29,'11.RESUMEN'!$D$28:$CI$28,A233)+SUMIFS('11.RESUMEN'!$D$34:$CD$34,'11.RESUMEN'!$D$33:$CD$33,A233)+SUMIFS('11.RESUMEN'!$D$39:$CD$39,'11.RESUMEN'!$D$38:$CD$38,A233)+SUMIFS('11.RESUMEN'!$D$44:$CE$44,'11.RESUMEN'!$D$43:$CE$43,A233)+SUMIFS('11.RESUMEN'!$D$50:$CD$50,'11.RESUMEN'!$D$49:$CD$49,A233),0)</f>
        <v>#VALUE!</v>
      </c>
    </row>
    <row r="234" spans="1:3" ht="18" x14ac:dyDescent="0.25">
      <c r="A234" s="200" t="s">
        <v>861</v>
      </c>
      <c r="B234" s="201" t="s">
        <v>862</v>
      </c>
      <c r="C234" s="202" t="e">
        <f>+ROUND(SUMIFS('11.RESUMEN'!$D$12:$CE$12,'11.RESUMEN'!$D$11:$CE$11,A234)+SUMIFS('11.RESUMEN'!$D$18:$CI$18,'11.RESUMEN'!$D$17:$CI$17,A234)+SUMIFS('11.RESUMEN'!$D$25:$CD$25,'11.RESUMEN'!$D$24:$CH$24,A234)+SUMIFS('11.RESUMEN'!$D$29:$CI$29,'11.RESUMEN'!$D$28:$CI$28,A234)+SUMIFS('11.RESUMEN'!$D$34:$CD$34,'11.RESUMEN'!$D$33:$CD$33,A234)+SUMIFS('11.RESUMEN'!$D$39:$CD$39,'11.RESUMEN'!$D$38:$CD$38,A234)+SUMIFS('11.RESUMEN'!$D$44:$CE$44,'11.RESUMEN'!$D$43:$CE$43,A234)+SUMIFS('11.RESUMEN'!$D$50:$CD$50,'11.RESUMEN'!$D$49:$CD$49,A234),0)</f>
        <v>#VALUE!</v>
      </c>
    </row>
    <row r="235" spans="1:3" ht="36" x14ac:dyDescent="0.25">
      <c r="A235" s="200" t="s">
        <v>863</v>
      </c>
      <c r="B235" s="201" t="s">
        <v>864</v>
      </c>
      <c r="C235" s="202" t="e">
        <f>+ROUND(SUMIFS('11.RESUMEN'!$D$12:$CE$12,'11.RESUMEN'!$D$11:$CE$11,A235)+SUMIFS('11.RESUMEN'!$D$18:$CI$18,'11.RESUMEN'!$D$17:$CI$17,A235)+SUMIFS('11.RESUMEN'!$D$25:$CD$25,'11.RESUMEN'!$D$24:$CH$24,A235)+SUMIFS('11.RESUMEN'!$D$29:$CI$29,'11.RESUMEN'!$D$28:$CI$28,A235)+SUMIFS('11.RESUMEN'!$D$34:$CD$34,'11.RESUMEN'!$D$33:$CD$33,A235)+SUMIFS('11.RESUMEN'!$D$39:$CD$39,'11.RESUMEN'!$D$38:$CD$38,A235)+SUMIFS('11.RESUMEN'!$D$44:$CE$44,'11.RESUMEN'!$D$43:$CE$43,A235)+SUMIFS('11.RESUMEN'!$D$50:$CD$50,'11.RESUMEN'!$D$49:$CD$49,A235),0)</f>
        <v>#VALUE!</v>
      </c>
    </row>
    <row r="236" spans="1:3" ht="36" x14ac:dyDescent="0.25">
      <c r="A236" s="200" t="s">
        <v>865</v>
      </c>
      <c r="B236" s="201" t="s">
        <v>866</v>
      </c>
      <c r="C236" s="202" t="e">
        <f>+ROUND(SUMIFS('11.RESUMEN'!$D$12:$CE$12,'11.RESUMEN'!$D$11:$CE$11,A236)+SUMIFS('11.RESUMEN'!$D$18:$CI$18,'11.RESUMEN'!$D$17:$CI$17,A236)+SUMIFS('11.RESUMEN'!$D$25:$CD$25,'11.RESUMEN'!$D$24:$CH$24,A236)+SUMIFS('11.RESUMEN'!$D$29:$CI$29,'11.RESUMEN'!$D$28:$CI$28,A236)+SUMIFS('11.RESUMEN'!$D$34:$CD$34,'11.RESUMEN'!$D$33:$CD$33,A236)+SUMIFS('11.RESUMEN'!$D$39:$CD$39,'11.RESUMEN'!$D$38:$CD$38,A236)+SUMIFS('11.RESUMEN'!$D$44:$CE$44,'11.RESUMEN'!$D$43:$CE$43,A236)+SUMIFS('11.RESUMEN'!$D$50:$CD$50,'11.RESUMEN'!$D$49:$CD$49,A236),0)</f>
        <v>#VALUE!</v>
      </c>
    </row>
    <row r="237" spans="1:3" ht="18" x14ac:dyDescent="0.25">
      <c r="A237" s="200" t="s">
        <v>867</v>
      </c>
      <c r="B237" s="201" t="s">
        <v>868</v>
      </c>
      <c r="C237" s="202" t="e">
        <f>+ROUND(SUMIFS('11.RESUMEN'!$D$12:$CE$12,'11.RESUMEN'!$D$11:$CE$11,A237)+SUMIFS('11.RESUMEN'!$D$18:$CI$18,'11.RESUMEN'!$D$17:$CI$17,A237)+SUMIFS('11.RESUMEN'!$D$25:$CD$25,'11.RESUMEN'!$D$24:$CH$24,A237)+SUMIFS('11.RESUMEN'!$D$29:$CI$29,'11.RESUMEN'!$D$28:$CI$28,A237)+SUMIFS('11.RESUMEN'!$D$34:$CD$34,'11.RESUMEN'!$D$33:$CD$33,A237)+SUMIFS('11.RESUMEN'!$D$39:$CD$39,'11.RESUMEN'!$D$38:$CD$38,A237)+SUMIFS('11.RESUMEN'!$D$44:$CE$44,'11.RESUMEN'!$D$43:$CE$43,A237)+SUMIFS('11.RESUMEN'!$D$50:$CD$50,'11.RESUMEN'!$D$49:$CD$49,A237),0)</f>
        <v>#VALUE!</v>
      </c>
    </row>
    <row r="238" spans="1:3" ht="36" x14ac:dyDescent="0.25">
      <c r="A238" s="200" t="s">
        <v>869</v>
      </c>
      <c r="B238" s="201" t="s">
        <v>870</v>
      </c>
      <c r="C238" s="202" t="e">
        <f>+ROUND(SUMIFS('11.RESUMEN'!$D$12:$CE$12,'11.RESUMEN'!$D$11:$CE$11,A238)+SUMIFS('11.RESUMEN'!$D$18:$CI$18,'11.RESUMEN'!$D$17:$CI$17,A238)+SUMIFS('11.RESUMEN'!$D$25:$CD$25,'11.RESUMEN'!$D$24:$CH$24,A238)+SUMIFS('11.RESUMEN'!$D$29:$CI$29,'11.RESUMEN'!$D$28:$CI$28,A238)+SUMIFS('11.RESUMEN'!$D$34:$CD$34,'11.RESUMEN'!$D$33:$CD$33,A238)+SUMIFS('11.RESUMEN'!$D$39:$CD$39,'11.RESUMEN'!$D$38:$CD$38,A238)+SUMIFS('11.RESUMEN'!$D$44:$CE$44,'11.RESUMEN'!$D$43:$CE$43,A238)+SUMIFS('11.RESUMEN'!$D$50:$CD$50,'11.RESUMEN'!$D$49:$CD$49,A238),0)</f>
        <v>#VALUE!</v>
      </c>
    </row>
    <row r="239" spans="1:3" ht="36" x14ac:dyDescent="0.25">
      <c r="A239" s="200" t="s">
        <v>871</v>
      </c>
      <c r="B239" s="201" t="s">
        <v>872</v>
      </c>
      <c r="C239" s="202" t="e">
        <f>+ROUND(SUMIFS('11.RESUMEN'!$D$12:$CE$12,'11.RESUMEN'!$D$11:$CE$11,A239)+SUMIFS('11.RESUMEN'!$D$18:$CI$18,'11.RESUMEN'!$D$17:$CI$17,A239)+SUMIFS('11.RESUMEN'!$D$25:$CD$25,'11.RESUMEN'!$D$24:$CH$24,A239)+SUMIFS('11.RESUMEN'!$D$29:$CI$29,'11.RESUMEN'!$D$28:$CI$28,A239)+SUMIFS('11.RESUMEN'!$D$34:$CD$34,'11.RESUMEN'!$D$33:$CD$33,A239)+SUMIFS('11.RESUMEN'!$D$39:$CD$39,'11.RESUMEN'!$D$38:$CD$38,A239)+SUMIFS('11.RESUMEN'!$D$44:$CE$44,'11.RESUMEN'!$D$43:$CE$43,A239)+SUMIFS('11.RESUMEN'!$D$50:$CD$50,'11.RESUMEN'!$D$49:$CD$49,A239),0)</f>
        <v>#VALUE!</v>
      </c>
    </row>
    <row r="240" spans="1:3" ht="36" x14ac:dyDescent="0.25">
      <c r="A240" s="200" t="s">
        <v>873</v>
      </c>
      <c r="B240" s="201" t="s">
        <v>874</v>
      </c>
      <c r="C240" s="202" t="e">
        <f>+ROUND(SUMIFS('11.RESUMEN'!$D$12:$CE$12,'11.RESUMEN'!$D$11:$CE$11,A240)+SUMIFS('11.RESUMEN'!$D$18:$CI$18,'11.RESUMEN'!$D$17:$CI$17,A240)+SUMIFS('11.RESUMEN'!$D$25:$CD$25,'11.RESUMEN'!$D$24:$CH$24,A240)+SUMIFS('11.RESUMEN'!$D$29:$CI$29,'11.RESUMEN'!$D$28:$CI$28,A240)+SUMIFS('11.RESUMEN'!$D$34:$CD$34,'11.RESUMEN'!$D$33:$CD$33,A240)+SUMIFS('11.RESUMEN'!$D$39:$CD$39,'11.RESUMEN'!$D$38:$CD$38,A240)+SUMIFS('11.RESUMEN'!$D$44:$CE$44,'11.RESUMEN'!$D$43:$CE$43,A240)+SUMIFS('11.RESUMEN'!$D$50:$CD$50,'11.RESUMEN'!$D$49:$CD$49,A240),0)</f>
        <v>#VALUE!</v>
      </c>
    </row>
    <row r="241" spans="1:3" ht="18" x14ac:dyDescent="0.25">
      <c r="A241" s="200" t="s">
        <v>875</v>
      </c>
      <c r="B241" s="201" t="s">
        <v>876</v>
      </c>
      <c r="C241" s="202" t="e">
        <f>+ROUND(SUMIFS('11.RESUMEN'!$D$12:$CE$12,'11.RESUMEN'!$D$11:$CE$11,A241)+SUMIFS('11.RESUMEN'!$D$18:$CI$18,'11.RESUMEN'!$D$17:$CI$17,A241)+SUMIFS('11.RESUMEN'!$D$25:$CD$25,'11.RESUMEN'!$D$24:$CH$24,A241)+SUMIFS('11.RESUMEN'!$D$29:$CI$29,'11.RESUMEN'!$D$28:$CI$28,A241)+SUMIFS('11.RESUMEN'!$D$34:$CD$34,'11.RESUMEN'!$D$33:$CD$33,A241)+SUMIFS('11.RESUMEN'!$D$39:$CD$39,'11.RESUMEN'!$D$38:$CD$38,A241)+SUMIFS('11.RESUMEN'!$D$44:$CE$44,'11.RESUMEN'!$D$43:$CE$43,A241)+SUMIFS('11.RESUMEN'!$D$50:$CD$50,'11.RESUMEN'!$D$49:$CD$49,A241),0)</f>
        <v>#VALUE!</v>
      </c>
    </row>
    <row r="242" spans="1:3" ht="18" x14ac:dyDescent="0.25">
      <c r="A242" s="200" t="s">
        <v>310</v>
      </c>
      <c r="B242" s="201" t="s">
        <v>877</v>
      </c>
      <c r="C242" s="202" t="e">
        <f>+ROUND(SUMIFS('11.RESUMEN'!$D$12:$CE$12,'11.RESUMEN'!$D$11:$CE$11,A242)+SUMIFS('11.RESUMEN'!$D$18:$CI$18,'11.RESUMEN'!$D$17:$CI$17,A242)+SUMIFS('11.RESUMEN'!$D$25:$CD$25,'11.RESUMEN'!$D$24:$CH$24,A242)+SUMIFS('11.RESUMEN'!$D$29:$CI$29,'11.RESUMEN'!$D$28:$CI$28,A242)+SUMIFS('11.RESUMEN'!$D$34:$CD$34,'11.RESUMEN'!$D$33:$CD$33,A242)+SUMIFS('11.RESUMEN'!$D$39:$CD$39,'11.RESUMEN'!$D$38:$CD$38,A242)+SUMIFS('11.RESUMEN'!$D$44:$CE$44,'11.RESUMEN'!$D$43:$CE$43,A242)+SUMIFS('11.RESUMEN'!$D$50:$CD$50,'11.RESUMEN'!$D$49:$CD$49,A242),0)</f>
        <v>#VALUE!</v>
      </c>
    </row>
    <row r="243" spans="1:3" ht="18" x14ac:dyDescent="0.25">
      <c r="A243" s="200" t="s">
        <v>878</v>
      </c>
      <c r="B243" s="201" t="s">
        <v>879</v>
      </c>
      <c r="C243" s="202" t="e">
        <f>+ROUND(SUMIFS('11.RESUMEN'!$D$12:$CE$12,'11.RESUMEN'!$D$11:$CE$11,A243)+SUMIFS('11.RESUMEN'!$D$18:$CI$18,'11.RESUMEN'!$D$17:$CI$17,A243)+SUMIFS('11.RESUMEN'!$D$25:$CD$25,'11.RESUMEN'!$D$24:$CH$24,A243)+SUMIFS('11.RESUMEN'!$D$29:$CI$29,'11.RESUMEN'!$D$28:$CI$28,A243)+SUMIFS('11.RESUMEN'!$D$34:$CD$34,'11.RESUMEN'!$D$33:$CD$33,A243)+SUMIFS('11.RESUMEN'!$D$39:$CD$39,'11.RESUMEN'!$D$38:$CD$38,A243)+SUMIFS('11.RESUMEN'!$D$44:$CE$44,'11.RESUMEN'!$D$43:$CE$43,A243)+SUMIFS('11.RESUMEN'!$D$50:$CD$50,'11.RESUMEN'!$D$49:$CD$49,A243),0)</f>
        <v>#VALUE!</v>
      </c>
    </row>
    <row r="244" spans="1:3" ht="18" x14ac:dyDescent="0.25">
      <c r="A244" s="200" t="s">
        <v>880</v>
      </c>
      <c r="B244" s="201" t="s">
        <v>881</v>
      </c>
      <c r="C244" s="202" t="e">
        <f>+ROUND(SUMIFS('11.RESUMEN'!$D$12:$CE$12,'11.RESUMEN'!$D$11:$CE$11,A244)+SUMIFS('11.RESUMEN'!$D$18:$CI$18,'11.RESUMEN'!$D$17:$CI$17,A244)+SUMIFS('11.RESUMEN'!$D$25:$CD$25,'11.RESUMEN'!$D$24:$CH$24,A244)+SUMIFS('11.RESUMEN'!$D$29:$CI$29,'11.RESUMEN'!$D$28:$CI$28,A244)+SUMIFS('11.RESUMEN'!$D$34:$CD$34,'11.RESUMEN'!$D$33:$CD$33,A244)+SUMIFS('11.RESUMEN'!$D$39:$CD$39,'11.RESUMEN'!$D$38:$CD$38,A244)+SUMIFS('11.RESUMEN'!$D$44:$CE$44,'11.RESUMEN'!$D$43:$CE$43,A244)+SUMIFS('11.RESUMEN'!$D$50:$CD$50,'11.RESUMEN'!$D$49:$CD$49,A244),0)</f>
        <v>#VALUE!</v>
      </c>
    </row>
    <row r="245" spans="1:3" ht="18" x14ac:dyDescent="0.25">
      <c r="A245" s="200" t="s">
        <v>882</v>
      </c>
      <c r="B245" s="201" t="s">
        <v>883</v>
      </c>
      <c r="C245" s="202" t="e">
        <f>+ROUND(SUMIFS('11.RESUMEN'!$D$12:$CE$12,'11.RESUMEN'!$D$11:$CE$11,A245)+SUMIFS('11.RESUMEN'!$D$18:$CI$18,'11.RESUMEN'!$D$17:$CI$17,A245)+SUMIFS('11.RESUMEN'!$D$25:$CD$25,'11.RESUMEN'!$D$24:$CH$24,A245)+SUMIFS('11.RESUMEN'!$D$29:$CI$29,'11.RESUMEN'!$D$28:$CI$28,A245)+SUMIFS('11.RESUMEN'!$D$34:$CD$34,'11.RESUMEN'!$D$33:$CD$33,A245)+SUMIFS('11.RESUMEN'!$D$39:$CD$39,'11.RESUMEN'!$D$38:$CD$38,A245)+SUMIFS('11.RESUMEN'!$D$44:$CE$44,'11.RESUMEN'!$D$43:$CE$43,A245)+SUMIFS('11.RESUMEN'!$D$50:$CD$50,'11.RESUMEN'!$D$49:$CD$49,A245),0)</f>
        <v>#VALUE!</v>
      </c>
    </row>
    <row r="246" spans="1:3" ht="18" x14ac:dyDescent="0.25">
      <c r="A246" s="197" t="s">
        <v>884</v>
      </c>
      <c r="B246" s="198" t="s">
        <v>885</v>
      </c>
      <c r="C246" s="199" t="e">
        <f>SUM(C247:C252)</f>
        <v>#VALUE!</v>
      </c>
    </row>
    <row r="247" spans="1:3" ht="18" x14ac:dyDescent="0.25">
      <c r="A247" s="200" t="s">
        <v>316</v>
      </c>
      <c r="B247" s="201" t="s">
        <v>886</v>
      </c>
      <c r="C247" s="202" t="e">
        <f>+ROUND(SUMIFS('11.RESUMEN'!$D$12:$CE$12,'11.RESUMEN'!$D$11:$CE$11,A247)+SUMIFS('11.RESUMEN'!$D$18:$CI$18,'11.RESUMEN'!$D$17:$CI$17,A247)+SUMIFS('11.RESUMEN'!$D$25:$CD$25,'11.RESUMEN'!$D$24:$CH$24,A247)+SUMIFS('11.RESUMEN'!$D$29:$CI$29,'11.RESUMEN'!$D$28:$CI$28,A247)+SUMIFS('11.RESUMEN'!$D$34:$CD$34,'11.RESUMEN'!$D$33:$CD$33,A247)+SUMIFS('11.RESUMEN'!$D$39:$CD$39,'11.RESUMEN'!$D$38:$CD$38,A247)+SUMIFS('11.RESUMEN'!$D$44:$CE$44,'11.RESUMEN'!$D$43:$CE$43,A247)+SUMIFS('11.RESUMEN'!$D$50:$CD$50,'11.RESUMEN'!$D$49:$CD$49,A247),0)</f>
        <v>#VALUE!</v>
      </c>
    </row>
    <row r="248" spans="1:3" ht="18" x14ac:dyDescent="0.25">
      <c r="A248" s="200" t="s">
        <v>887</v>
      </c>
      <c r="B248" s="201" t="s">
        <v>888</v>
      </c>
      <c r="C248" s="202" t="e">
        <f>+ROUND(SUMIFS('11.RESUMEN'!$D$12:$CE$12,'11.RESUMEN'!$D$11:$CE$11,A248)+SUMIFS('11.RESUMEN'!$D$18:$CI$18,'11.RESUMEN'!$D$17:$CI$17,A248)+SUMIFS('11.RESUMEN'!$D$25:$CD$25,'11.RESUMEN'!$D$24:$CH$24,A248)+SUMIFS('11.RESUMEN'!$D$29:$CI$29,'11.RESUMEN'!$D$28:$CI$28,A248)+SUMIFS('11.RESUMEN'!$D$34:$CD$34,'11.RESUMEN'!$D$33:$CD$33,A248)+SUMIFS('11.RESUMEN'!$D$39:$CD$39,'11.RESUMEN'!$D$38:$CD$38,A248)+SUMIFS('11.RESUMEN'!$D$44:$CE$44,'11.RESUMEN'!$D$43:$CE$43,A248)+SUMIFS('11.RESUMEN'!$D$50:$CD$50,'11.RESUMEN'!$D$49:$CD$49,A248),0)</f>
        <v>#VALUE!</v>
      </c>
    </row>
    <row r="249" spans="1:3" ht="18" x14ac:dyDescent="0.25">
      <c r="A249" s="200" t="s">
        <v>889</v>
      </c>
      <c r="B249" s="201" t="s">
        <v>890</v>
      </c>
      <c r="C249" s="202" t="e">
        <f>+ROUND(SUMIFS('11.RESUMEN'!$D$12:$CE$12,'11.RESUMEN'!$D$11:$CE$11,A249)+SUMIFS('11.RESUMEN'!$D$18:$CI$18,'11.RESUMEN'!$D$17:$CI$17,A249)+SUMIFS('11.RESUMEN'!$D$25:$CD$25,'11.RESUMEN'!$D$24:$CH$24,A249)+SUMIFS('11.RESUMEN'!$D$29:$CI$29,'11.RESUMEN'!$D$28:$CI$28,A249)+SUMIFS('11.RESUMEN'!$D$34:$CD$34,'11.RESUMEN'!$D$33:$CD$33,A249)+SUMIFS('11.RESUMEN'!$D$39:$CD$39,'11.RESUMEN'!$D$38:$CD$38,A249)+SUMIFS('11.RESUMEN'!$D$44:$CE$44,'11.RESUMEN'!$D$43:$CE$43,A249)+SUMIFS('11.RESUMEN'!$D$50:$CD$50,'11.RESUMEN'!$D$49:$CD$49,A249),0)</f>
        <v>#VALUE!</v>
      </c>
    </row>
    <row r="250" spans="1:3" ht="18" x14ac:dyDescent="0.25">
      <c r="A250" s="200" t="s">
        <v>891</v>
      </c>
      <c r="B250" s="201" t="s">
        <v>892</v>
      </c>
      <c r="C250" s="202" t="e">
        <f>+ROUND(SUMIFS('11.RESUMEN'!$D$12:$CE$12,'11.RESUMEN'!$D$11:$CE$11,A250)+SUMIFS('11.RESUMEN'!$D$18:$CI$18,'11.RESUMEN'!$D$17:$CI$17,A250)+SUMIFS('11.RESUMEN'!$D$25:$CD$25,'11.RESUMEN'!$D$24:$CH$24,A250)+SUMIFS('11.RESUMEN'!$D$29:$CI$29,'11.RESUMEN'!$D$28:$CI$28,A250)+SUMIFS('11.RESUMEN'!$D$34:$CD$34,'11.RESUMEN'!$D$33:$CD$33,A250)+SUMIFS('11.RESUMEN'!$D$39:$CD$39,'11.RESUMEN'!$D$38:$CD$38,A250)+SUMIFS('11.RESUMEN'!$D$44:$CE$44,'11.RESUMEN'!$D$43:$CE$43,A250)+SUMIFS('11.RESUMEN'!$D$50:$CD$50,'11.RESUMEN'!$D$49:$CD$49,A250),0)</f>
        <v>#VALUE!</v>
      </c>
    </row>
    <row r="251" spans="1:3" ht="36" x14ac:dyDescent="0.25">
      <c r="A251" s="200" t="s">
        <v>893</v>
      </c>
      <c r="B251" s="201" t="s">
        <v>894</v>
      </c>
      <c r="C251" s="202" t="e">
        <f>+ROUND(SUMIFS('11.RESUMEN'!$D$12:$CE$12,'11.RESUMEN'!$D$11:$CE$11,A251)+SUMIFS('11.RESUMEN'!$D$18:$CI$18,'11.RESUMEN'!$D$17:$CI$17,A251)+SUMIFS('11.RESUMEN'!$D$25:$CD$25,'11.RESUMEN'!$D$24:$CH$24,A251)+SUMIFS('11.RESUMEN'!$D$29:$CI$29,'11.RESUMEN'!$D$28:$CI$28,A251)+SUMIFS('11.RESUMEN'!$D$34:$CD$34,'11.RESUMEN'!$D$33:$CD$33,A251)+SUMIFS('11.RESUMEN'!$D$39:$CD$39,'11.RESUMEN'!$D$38:$CD$38,A251)+SUMIFS('11.RESUMEN'!$D$44:$CE$44,'11.RESUMEN'!$D$43:$CE$43,A251)+SUMIFS('11.RESUMEN'!$D$50:$CD$50,'11.RESUMEN'!$D$49:$CD$49,A251),0)</f>
        <v>#VALUE!</v>
      </c>
    </row>
    <row r="252" spans="1:3" ht="36" x14ac:dyDescent="0.25">
      <c r="A252" s="200" t="s">
        <v>239</v>
      </c>
      <c r="B252" s="201" t="s">
        <v>895</v>
      </c>
      <c r="C252" s="202" t="e">
        <f>+ROUND(SUMIFS('11.RESUMEN'!$D$12:$CE$12,'11.RESUMEN'!$D$11:$CE$11,A252)+SUMIFS('11.RESUMEN'!$D$18:$CI$18,'11.RESUMEN'!$D$17:$CI$17,A252)+SUMIFS('11.RESUMEN'!$D$25:$CD$25,'11.RESUMEN'!$D$24:$CH$24,A252)+SUMIFS('11.RESUMEN'!$D$29:$CI$29,'11.RESUMEN'!$D$28:$CI$28,A252)+SUMIFS('11.RESUMEN'!$D$34:$CD$34,'11.RESUMEN'!$D$33:$CD$33,A252)+SUMIFS('11.RESUMEN'!$D$39:$CD$39,'11.RESUMEN'!$D$38:$CD$38,A252)+SUMIFS('11.RESUMEN'!$D$44:$CE$44,'11.RESUMEN'!$D$43:$CE$43,A252)+SUMIFS('11.RESUMEN'!$D$50:$CD$50,'11.RESUMEN'!$D$49:$CD$49,A252),0)</f>
        <v>#VALUE!</v>
      </c>
    </row>
    <row r="253" spans="1:3" ht="36" x14ac:dyDescent="0.25">
      <c r="A253" s="197" t="s">
        <v>896</v>
      </c>
      <c r="B253" s="198" t="s">
        <v>897</v>
      </c>
      <c r="C253" s="199" t="e">
        <f>+C254</f>
        <v>#VALUE!</v>
      </c>
    </row>
    <row r="254" spans="1:3" ht="36" x14ac:dyDescent="0.25">
      <c r="A254" s="200" t="s">
        <v>898</v>
      </c>
      <c r="B254" s="201" t="s">
        <v>897</v>
      </c>
      <c r="C254" s="202" t="e">
        <f>+ROUND(SUMIFS('11.RESUMEN'!$D$12:$CE$12,'11.RESUMEN'!$D$11:$CE$11,A254)+SUMIFS('11.RESUMEN'!$D$18:$CI$18,'11.RESUMEN'!$D$17:$CI$17,A254)+SUMIFS('11.RESUMEN'!$D$25:$CD$25,'11.RESUMEN'!$D$24:$CH$24,A254)+SUMIFS('11.RESUMEN'!$D$29:$CI$29,'11.RESUMEN'!$D$28:$CI$28,A254)+SUMIFS('11.RESUMEN'!$D$34:$CD$34,'11.RESUMEN'!$D$33:$CD$33,A254)+SUMIFS('11.RESUMEN'!$D$39:$CD$39,'11.RESUMEN'!$D$38:$CD$38,A254)+SUMIFS('11.RESUMEN'!$D$44:$CE$44,'11.RESUMEN'!$D$43:$CE$43,A254)+SUMIFS('11.RESUMEN'!$D$50:$CD$50,'11.RESUMEN'!$D$49:$CD$49,A254),0)</f>
        <v>#VALUE!</v>
      </c>
    </row>
    <row r="255" spans="1:3" ht="36" x14ac:dyDescent="0.25">
      <c r="A255" s="197" t="s">
        <v>899</v>
      </c>
      <c r="B255" s="198" t="s">
        <v>900</v>
      </c>
      <c r="C255" s="199" t="e">
        <f>+C256</f>
        <v>#VALUE!</v>
      </c>
    </row>
    <row r="256" spans="1:3" ht="36" x14ac:dyDescent="0.25">
      <c r="A256" s="200" t="s">
        <v>901</v>
      </c>
      <c r="B256" s="201" t="s">
        <v>900</v>
      </c>
      <c r="C256" s="202" t="e">
        <f>+ROUND(SUMIFS('11.RESUMEN'!$D$12:$CE$12,'11.RESUMEN'!$D$11:$CE$11,A256)+SUMIFS('11.RESUMEN'!$D$18:$CI$18,'11.RESUMEN'!$D$17:$CI$17,A256)+SUMIFS('11.RESUMEN'!$D$25:$CD$25,'11.RESUMEN'!$D$24:$CH$24,A256)+SUMIFS('11.RESUMEN'!$D$29:$CI$29,'11.RESUMEN'!$D$28:$CI$28,A256)+SUMIFS('11.RESUMEN'!$D$34:$CD$34,'11.RESUMEN'!$D$33:$CD$33,A256)+SUMIFS('11.RESUMEN'!$D$39:$CD$39,'11.RESUMEN'!$D$38:$CD$38,A256)+SUMIFS('11.RESUMEN'!$D$44:$CE$44,'11.RESUMEN'!$D$43:$CE$43,A256)+SUMIFS('11.RESUMEN'!$D$50:$CD$50,'11.RESUMEN'!$D$49:$CD$49,A256),0)</f>
        <v>#VALUE!</v>
      </c>
    </row>
    <row r="257" spans="1:3" ht="18" x14ac:dyDescent="0.25">
      <c r="A257" s="197" t="s">
        <v>902</v>
      </c>
      <c r="B257" s="198" t="s">
        <v>903</v>
      </c>
      <c r="C257" s="199" t="e">
        <f>+C258</f>
        <v>#VALUE!</v>
      </c>
    </row>
    <row r="258" spans="1:3" ht="18" x14ac:dyDescent="0.25">
      <c r="A258" s="200" t="s">
        <v>904</v>
      </c>
      <c r="B258" s="201" t="s">
        <v>903</v>
      </c>
      <c r="C258" s="202" t="e">
        <f>+ROUND(SUMIFS('11.RESUMEN'!$D$12:$CE$12,'11.RESUMEN'!$D$11:$CE$11,A258)+SUMIFS('11.RESUMEN'!$D$18:$CI$18,'11.RESUMEN'!$D$17:$CI$17,A258)+SUMIFS('11.RESUMEN'!$D$25:$CD$25,'11.RESUMEN'!$D$24:$CH$24,A258)+SUMIFS('11.RESUMEN'!$D$29:$CI$29,'11.RESUMEN'!$D$28:$CI$28,A258)+SUMIFS('11.RESUMEN'!$D$34:$CD$34,'11.RESUMEN'!$D$33:$CD$33,A258)+SUMIFS('11.RESUMEN'!$D$39:$CD$39,'11.RESUMEN'!$D$38:$CD$38,A258)+SUMIFS('11.RESUMEN'!$D$44:$CE$44,'11.RESUMEN'!$D$43:$CE$43,A258)+SUMIFS('11.RESUMEN'!$D$50:$CD$50,'11.RESUMEN'!$D$49:$CD$49,A258),0)</f>
        <v>#VALUE!</v>
      </c>
    </row>
    <row r="259" spans="1:3" ht="18" x14ac:dyDescent="0.25">
      <c r="A259" s="197" t="s">
        <v>905</v>
      </c>
      <c r="B259" s="198" t="s">
        <v>906</v>
      </c>
      <c r="C259" s="199" t="e">
        <f>+C260</f>
        <v>#VALUE!</v>
      </c>
    </row>
    <row r="260" spans="1:3" ht="18" x14ac:dyDescent="0.25">
      <c r="A260" s="200" t="s">
        <v>907</v>
      </c>
      <c r="B260" s="201" t="s">
        <v>906</v>
      </c>
      <c r="C260" s="202" t="e">
        <f>+ROUND(SUMIFS('11.RESUMEN'!$D$12:$CE$12,'11.RESUMEN'!$D$11:$CE$11,A260)+SUMIFS('11.RESUMEN'!$D$18:$CI$18,'11.RESUMEN'!$D$17:$CI$17,A260)+SUMIFS('11.RESUMEN'!$D$25:$CD$25,'11.RESUMEN'!$D$24:$CH$24,A260)+SUMIFS('11.RESUMEN'!$D$29:$CI$29,'11.RESUMEN'!$D$28:$CI$28,A260)+SUMIFS('11.RESUMEN'!$D$34:$CD$34,'11.RESUMEN'!$D$33:$CD$33,A260)+SUMIFS('11.RESUMEN'!$D$39:$CD$39,'11.RESUMEN'!$D$38:$CD$38,A260)+SUMIFS('11.RESUMEN'!$D$44:$CE$44,'11.RESUMEN'!$D$43:$CE$43,A260)+SUMIFS('11.RESUMEN'!$D$50:$CD$50,'11.RESUMEN'!$D$49:$CD$49,A260),0)</f>
        <v>#VALUE!</v>
      </c>
    </row>
    <row r="261" spans="1:3" ht="18" x14ac:dyDescent="0.25">
      <c r="A261" s="197" t="s">
        <v>908</v>
      </c>
      <c r="B261" s="198" t="s">
        <v>909</v>
      </c>
      <c r="C261" s="199" t="e">
        <f>+C262</f>
        <v>#VALUE!</v>
      </c>
    </row>
    <row r="262" spans="1:3" ht="18" x14ac:dyDescent="0.25">
      <c r="A262" s="200" t="s">
        <v>910</v>
      </c>
      <c r="B262" s="201" t="s">
        <v>909</v>
      </c>
      <c r="C262" s="202" t="e">
        <f>+ROUND(SUMIFS('11.RESUMEN'!$D$12:$CE$12,'11.RESUMEN'!$D$11:$CE$11,A262)+SUMIFS('11.RESUMEN'!$D$18:$CI$18,'11.RESUMEN'!$D$17:$CI$17,A262)+SUMIFS('11.RESUMEN'!$D$25:$CD$25,'11.RESUMEN'!$D$24:$CH$24,A262)+SUMIFS('11.RESUMEN'!$D$29:$CI$29,'11.RESUMEN'!$D$28:$CI$28,A262)+SUMIFS('11.RESUMEN'!$D$34:$CD$34,'11.RESUMEN'!$D$33:$CD$33,A262)+SUMIFS('11.RESUMEN'!$D$39:$CD$39,'11.RESUMEN'!$D$38:$CD$38,A262)+SUMIFS('11.RESUMEN'!$D$44:$CE$44,'11.RESUMEN'!$D$43:$CE$43,A262)+SUMIFS('11.RESUMEN'!$D$50:$CD$50,'11.RESUMEN'!$D$49:$CD$49,A262),0)</f>
        <v>#VALUE!</v>
      </c>
    </row>
    <row r="263" spans="1:3" ht="18" x14ac:dyDescent="0.25">
      <c r="A263" s="197" t="s">
        <v>911</v>
      </c>
      <c r="B263" s="198" t="s">
        <v>912</v>
      </c>
      <c r="C263" s="199" t="e">
        <f>+C264</f>
        <v>#VALUE!</v>
      </c>
    </row>
    <row r="264" spans="1:3" ht="18" x14ac:dyDescent="0.25">
      <c r="A264" s="200" t="s">
        <v>913</v>
      </c>
      <c r="B264" s="201" t="s">
        <v>912</v>
      </c>
      <c r="C264" s="202" t="e">
        <f>+ROUND(SUMIFS('11.RESUMEN'!$D$12:$CE$12,'11.RESUMEN'!$D$11:$CE$11,A264)+SUMIFS('11.RESUMEN'!$D$18:$CI$18,'11.RESUMEN'!$D$17:$CI$17,A264)+SUMIFS('11.RESUMEN'!$D$25:$CD$25,'11.RESUMEN'!$D$24:$CH$24,A264)+SUMIFS('11.RESUMEN'!$D$29:$CI$29,'11.RESUMEN'!$D$28:$CI$28,A264)+SUMIFS('11.RESUMEN'!$D$34:$CD$34,'11.RESUMEN'!$D$33:$CD$33,A264)+SUMIFS('11.RESUMEN'!$D$39:$CD$39,'11.RESUMEN'!$D$38:$CD$38,A264)+SUMIFS('11.RESUMEN'!$D$44:$CE$44,'11.RESUMEN'!$D$43:$CE$43,A264)+SUMIFS('11.RESUMEN'!$D$50:$CD$50,'11.RESUMEN'!$D$49:$CD$49,A264),0)</f>
        <v>#VALUE!</v>
      </c>
    </row>
    <row r="265" spans="1:3" ht="18" x14ac:dyDescent="0.25">
      <c r="A265" s="194" t="s">
        <v>914</v>
      </c>
      <c r="B265" s="203" t="s">
        <v>915</v>
      </c>
      <c r="C265" s="196" t="e">
        <f>+C266</f>
        <v>#VALUE!</v>
      </c>
    </row>
    <row r="266" spans="1:3" ht="18" x14ac:dyDescent="0.25">
      <c r="A266" s="197" t="s">
        <v>916</v>
      </c>
      <c r="B266" s="198" t="s">
        <v>917</v>
      </c>
      <c r="C266" s="199" t="e">
        <f>+C267</f>
        <v>#VALUE!</v>
      </c>
    </row>
    <row r="267" spans="1:3" ht="18" x14ac:dyDescent="0.25">
      <c r="A267" s="200" t="s">
        <v>918</v>
      </c>
      <c r="B267" s="201" t="s">
        <v>919</v>
      </c>
      <c r="C267" s="202" t="e">
        <f>+ROUND(SUMIFS('11.RESUMEN'!$D$12:$CE$12,'11.RESUMEN'!$D$11:$CE$11,A267)+SUMIFS('11.RESUMEN'!$D$18:$CI$18,'11.RESUMEN'!$D$17:$CI$17,A267)+SUMIFS('11.RESUMEN'!$D$25:$CD$25,'11.RESUMEN'!$D$24:$CH$24,A267)+SUMIFS('11.RESUMEN'!$D$29:$CI$29,'11.RESUMEN'!$D$28:$CI$28,A267)+SUMIFS('11.RESUMEN'!$D$34:$CD$34,'11.RESUMEN'!$D$33:$CD$33,A267)+SUMIFS('11.RESUMEN'!$D$39:$CD$39,'11.RESUMEN'!$D$38:$CD$38,A267)+SUMIFS('11.RESUMEN'!$D$44:$CE$44,'11.RESUMEN'!$D$43:$CE$43,A267)+SUMIFS('11.RESUMEN'!$D$50:$CD$50,'11.RESUMEN'!$D$49:$CD$49,A267),0)</f>
        <v>#VALUE!</v>
      </c>
    </row>
    <row r="268" spans="1:3" ht="18" x14ac:dyDescent="0.25">
      <c r="A268" s="194" t="s">
        <v>920</v>
      </c>
      <c r="B268" s="203" t="s">
        <v>921</v>
      </c>
      <c r="C268" s="196" t="e">
        <f>+C269+C272+C274+C276+C278+C280</f>
        <v>#VALUE!</v>
      </c>
    </row>
    <row r="269" spans="1:3" ht="18" x14ac:dyDescent="0.25">
      <c r="A269" s="197" t="s">
        <v>922</v>
      </c>
      <c r="B269" s="198" t="s">
        <v>923</v>
      </c>
      <c r="C269" s="199" t="e">
        <f>SUM(C270:C271)</f>
        <v>#VALUE!</v>
      </c>
    </row>
    <row r="270" spans="1:3" ht="18" x14ac:dyDescent="0.25">
      <c r="A270" s="200" t="s">
        <v>241</v>
      </c>
      <c r="B270" s="201" t="s">
        <v>924</v>
      </c>
      <c r="C270" s="202" t="e">
        <f>+ROUND(SUMIFS('11.RESUMEN'!$D$12:$CE$12,'11.RESUMEN'!$D$11:$CE$11,A270)+SUMIFS('11.RESUMEN'!$D$18:$CI$18,'11.RESUMEN'!$D$17:$CI$17,A270)+SUMIFS('11.RESUMEN'!$D$25:$CD$25,'11.RESUMEN'!$D$24:$CH$24,A270)+SUMIFS('11.RESUMEN'!$D$29:$CI$29,'11.RESUMEN'!$D$28:$CI$28,A270)+SUMIFS('11.RESUMEN'!$D$34:$CD$34,'11.RESUMEN'!$D$33:$CD$33,A270)+SUMIFS('11.RESUMEN'!$D$39:$CD$39,'11.RESUMEN'!$D$38:$CD$38,A270)+SUMIFS('11.RESUMEN'!$D$44:$CE$44,'11.RESUMEN'!$D$43:$CE$43,A270)+SUMIFS('11.RESUMEN'!$D$50:$CD$50,'11.RESUMEN'!$D$49:$CD$49,A270),0)</f>
        <v>#VALUE!</v>
      </c>
    </row>
    <row r="271" spans="1:3" ht="18" x14ac:dyDescent="0.25">
      <c r="A271" s="200" t="s">
        <v>242</v>
      </c>
      <c r="B271" s="201" t="s">
        <v>925</v>
      </c>
      <c r="C271" s="202" t="e">
        <f>+ROUND(SUMIFS('11.RESUMEN'!$D$12:$CE$12,'11.RESUMEN'!$D$11:$CE$11,A271)+SUMIFS('11.RESUMEN'!$D$18:$CI$18,'11.RESUMEN'!$D$17:$CI$17,A271)+SUMIFS('11.RESUMEN'!$D$25:$CD$25,'11.RESUMEN'!$D$24:$CH$24,A271)+SUMIFS('11.RESUMEN'!$D$29:$CI$29,'11.RESUMEN'!$D$28:$CI$28,A271)+SUMIFS('11.RESUMEN'!$D$34:$CD$34,'11.RESUMEN'!$D$33:$CD$33,A271)+SUMIFS('11.RESUMEN'!$D$39:$CD$39,'11.RESUMEN'!$D$38:$CD$38,A271)+SUMIFS('11.RESUMEN'!$D$44:$CE$44,'11.RESUMEN'!$D$43:$CE$43,A271)+SUMIFS('11.RESUMEN'!$D$50:$CD$50,'11.RESUMEN'!$D$49:$CD$49,A271),0)</f>
        <v>#VALUE!</v>
      </c>
    </row>
    <row r="272" spans="1:3" ht="18" x14ac:dyDescent="0.25">
      <c r="A272" s="197" t="s">
        <v>926</v>
      </c>
      <c r="B272" s="198" t="s">
        <v>927</v>
      </c>
      <c r="C272" s="199" t="e">
        <f>+C273</f>
        <v>#VALUE!</v>
      </c>
    </row>
    <row r="273" spans="1:3" ht="18" x14ac:dyDescent="0.25">
      <c r="A273" s="200" t="s">
        <v>243</v>
      </c>
      <c r="B273" s="201" t="s">
        <v>928</v>
      </c>
      <c r="C273" s="202" t="e">
        <f>+ROUND(SUMIFS('11.RESUMEN'!$D$12:$CE$12,'11.RESUMEN'!$D$11:$CE$11,A273)+SUMIFS('11.RESUMEN'!$D$18:$CI$18,'11.RESUMEN'!$D$17:$CI$17,A273)+SUMIFS('11.RESUMEN'!$D$25:$CD$25,'11.RESUMEN'!$D$24:$CH$24,A273)+SUMIFS('11.RESUMEN'!$D$29:$CI$29,'11.RESUMEN'!$D$28:$CI$28,A273)+SUMIFS('11.RESUMEN'!$D$34:$CD$34,'11.RESUMEN'!$D$33:$CD$33,A273)+SUMIFS('11.RESUMEN'!$D$39:$CD$39,'11.RESUMEN'!$D$38:$CD$38,A273)+SUMIFS('11.RESUMEN'!$D$44:$CE$44,'11.RESUMEN'!$D$43:$CE$43,A273)+SUMIFS('11.RESUMEN'!$D$50:$CD$50,'11.RESUMEN'!$D$49:$CD$49,A273),0)</f>
        <v>#VALUE!</v>
      </c>
    </row>
    <row r="274" spans="1:3" ht="18" x14ac:dyDescent="0.25">
      <c r="A274" s="197" t="s">
        <v>929</v>
      </c>
      <c r="B274" s="198" t="s">
        <v>930</v>
      </c>
      <c r="C274" s="199" t="e">
        <f>+C275</f>
        <v>#VALUE!</v>
      </c>
    </row>
    <row r="275" spans="1:3" ht="18" x14ac:dyDescent="0.25">
      <c r="A275" s="200" t="s">
        <v>244</v>
      </c>
      <c r="B275" s="201" t="s">
        <v>930</v>
      </c>
      <c r="C275" s="202" t="e">
        <f>+ROUND(SUMIFS('11.RESUMEN'!$D$12:$CE$12,'11.RESUMEN'!$D$11:$CE$11,A275)+SUMIFS('11.RESUMEN'!$D$18:$CI$18,'11.RESUMEN'!$D$17:$CI$17,A275)+SUMIFS('11.RESUMEN'!$D$25:$CD$25,'11.RESUMEN'!$D$24:$CH$24,A275)+SUMIFS('11.RESUMEN'!$D$29:$CI$29,'11.RESUMEN'!$D$28:$CI$28,A275)+SUMIFS('11.RESUMEN'!$D$34:$CD$34,'11.RESUMEN'!$D$33:$CD$33,A275)+SUMIFS('11.RESUMEN'!$D$39:$CD$39,'11.RESUMEN'!$D$38:$CD$38,A275)+SUMIFS('11.RESUMEN'!$D$44:$CE$44,'11.RESUMEN'!$D$43:$CE$43,A275)+SUMIFS('11.RESUMEN'!$D$50:$CD$50,'11.RESUMEN'!$D$49:$CD$49,A275),0)</f>
        <v>#VALUE!</v>
      </c>
    </row>
    <row r="276" spans="1:3" ht="18" x14ac:dyDescent="0.25">
      <c r="A276" s="197" t="s">
        <v>931</v>
      </c>
      <c r="B276" s="198" t="s">
        <v>932</v>
      </c>
      <c r="C276" s="199" t="e">
        <f>+C277</f>
        <v>#VALUE!</v>
      </c>
    </row>
    <row r="277" spans="1:3" ht="18" x14ac:dyDescent="0.25">
      <c r="A277" s="200" t="s">
        <v>245</v>
      </c>
      <c r="B277" s="201" t="s">
        <v>933</v>
      </c>
      <c r="C277" s="202" t="e">
        <f>+ROUND(SUMIFS('11.RESUMEN'!$D$12:$CE$12,'11.RESUMEN'!$D$11:$CE$11,A277)+SUMIFS('11.RESUMEN'!$D$18:$CI$18,'11.RESUMEN'!$D$17:$CI$17,A277)+SUMIFS('11.RESUMEN'!$D$25:$CD$25,'11.RESUMEN'!$D$24:$CH$24,A277)+SUMIFS('11.RESUMEN'!$D$29:$CI$29,'11.RESUMEN'!$D$28:$CI$28,A277)+SUMIFS('11.RESUMEN'!$D$34:$CD$34,'11.RESUMEN'!$D$33:$CD$33,A277)+SUMIFS('11.RESUMEN'!$D$39:$CD$39,'11.RESUMEN'!$D$38:$CD$38,A277)+SUMIFS('11.RESUMEN'!$D$44:$CE$44,'11.RESUMEN'!$D$43:$CE$43,A277)+SUMIFS('11.RESUMEN'!$D$50:$CD$50,'11.RESUMEN'!$D$49:$CD$49,A277),0)</f>
        <v>#VALUE!</v>
      </c>
    </row>
    <row r="278" spans="1:3" ht="18" x14ac:dyDescent="0.25">
      <c r="A278" s="197" t="s">
        <v>934</v>
      </c>
      <c r="B278" s="198" t="s">
        <v>935</v>
      </c>
      <c r="C278" s="199" t="e">
        <f>+C279</f>
        <v>#VALUE!</v>
      </c>
    </row>
    <row r="279" spans="1:3" ht="18" x14ac:dyDescent="0.25">
      <c r="A279" s="200" t="s">
        <v>246</v>
      </c>
      <c r="B279" s="201" t="s">
        <v>935</v>
      </c>
      <c r="C279" s="202" t="e">
        <f>+ROUND(SUMIFS('11.RESUMEN'!$D$12:$CE$12,'11.RESUMEN'!$D$11:$CE$11,A279)+SUMIFS('11.RESUMEN'!$D$18:$CI$18,'11.RESUMEN'!$D$17:$CI$17,A279)+SUMIFS('11.RESUMEN'!$D$25:$CD$25,'11.RESUMEN'!$D$24:$CH$24,A279)+SUMIFS('11.RESUMEN'!$D$29:$CI$29,'11.RESUMEN'!$D$28:$CI$28,A279)+SUMIFS('11.RESUMEN'!$D$34:$CD$34,'11.RESUMEN'!$D$33:$CD$33,A279)+SUMIFS('11.RESUMEN'!$D$39:$CD$39,'11.RESUMEN'!$D$38:$CD$38,A279)+SUMIFS('11.RESUMEN'!$D$44:$CE$44,'11.RESUMEN'!$D$43:$CE$43,A279)+SUMIFS('11.RESUMEN'!$D$50:$CD$50,'11.RESUMEN'!$D$49:$CD$49,A279),0)</f>
        <v>#VALUE!</v>
      </c>
    </row>
    <row r="280" spans="1:3" ht="18" x14ac:dyDescent="0.25">
      <c r="A280" s="197" t="s">
        <v>936</v>
      </c>
      <c r="B280" s="198" t="s">
        <v>937</v>
      </c>
      <c r="C280" s="199" t="e">
        <f>+C281</f>
        <v>#VALUE!</v>
      </c>
    </row>
    <row r="281" spans="1:3" ht="18" x14ac:dyDescent="0.25">
      <c r="A281" s="200" t="s">
        <v>247</v>
      </c>
      <c r="B281" s="201" t="s">
        <v>937</v>
      </c>
      <c r="C281" s="202" t="e">
        <f>+ROUND(SUMIFS('11.RESUMEN'!$D$12:$CE$12,'11.RESUMEN'!$D$11:$CE$11,A281)+SUMIFS('11.RESUMEN'!$D$18:$CI$18,'11.RESUMEN'!$D$17:$CI$17,A281)+SUMIFS('11.RESUMEN'!$D$25:$CD$25,'11.RESUMEN'!$D$24:$CH$24,A281)+SUMIFS('11.RESUMEN'!$D$29:$CI$29,'11.RESUMEN'!$D$28:$CI$28,A281)+SUMIFS('11.RESUMEN'!$D$34:$CD$34,'11.RESUMEN'!$D$33:$CD$33,A281)+SUMIFS('11.RESUMEN'!$D$39:$CD$39,'11.RESUMEN'!$D$38:$CD$38,A281)+SUMIFS('11.RESUMEN'!$D$44:$CE$44,'11.RESUMEN'!$D$43:$CE$43,A281)+SUMIFS('11.RESUMEN'!$D$50:$CD$50,'11.RESUMEN'!$D$49:$CD$49,A281),0)</f>
        <v>#VALUE!</v>
      </c>
    </row>
    <row r="282" spans="1:3" ht="18" x14ac:dyDescent="0.25">
      <c r="A282" s="194" t="s">
        <v>938</v>
      </c>
      <c r="B282" s="203" t="s">
        <v>939</v>
      </c>
      <c r="C282" s="196" t="e">
        <f>+C283</f>
        <v>#VALUE!</v>
      </c>
    </row>
    <row r="283" spans="1:3" ht="18" x14ac:dyDescent="0.25">
      <c r="A283" s="197" t="s">
        <v>940</v>
      </c>
      <c r="B283" s="198" t="s">
        <v>941</v>
      </c>
      <c r="C283" s="199" t="e">
        <f>+C284+C297+C308</f>
        <v>#VALUE!</v>
      </c>
    </row>
    <row r="284" spans="1:3" ht="18" x14ac:dyDescent="0.25">
      <c r="A284" s="197" t="s">
        <v>942</v>
      </c>
      <c r="B284" s="198" t="s">
        <v>943</v>
      </c>
      <c r="C284" s="199" t="e">
        <f>SUM(C285:C296)</f>
        <v>#VALUE!</v>
      </c>
    </row>
    <row r="285" spans="1:3" ht="18" x14ac:dyDescent="0.25">
      <c r="A285" s="200" t="s">
        <v>409</v>
      </c>
      <c r="B285" s="201" t="s">
        <v>944</v>
      </c>
      <c r="C285" s="202" t="e">
        <f>+ROUND(SUMIFS('11.RESUMEN'!$D$12:$CE$12,'11.RESUMEN'!$D$11:$CE$11,A285)+SUMIFS('11.RESUMEN'!$D$18:$CI$18,'11.RESUMEN'!$D$17:$CI$17,A285)+SUMIFS('11.RESUMEN'!$D$25:$CD$25,'11.RESUMEN'!$D$24:$CH$24,A285)+SUMIFS('11.RESUMEN'!$D$29:$CI$29,'11.RESUMEN'!$D$28:$CI$28,A285)+SUMIFS('11.RESUMEN'!$D$34:$CD$34,'11.RESUMEN'!$D$33:$CD$33,A285)+SUMIFS('11.RESUMEN'!$D$39:$CD$39,'11.RESUMEN'!$D$38:$CD$38,A285)+SUMIFS('11.RESUMEN'!$D$44:$CE$44,'11.RESUMEN'!$D$43:$CE$43,A285)+SUMIFS('11.RESUMEN'!$D$50:$CD$50,'11.RESUMEN'!$D$49:$CD$49,A285),0)</f>
        <v>#VALUE!</v>
      </c>
    </row>
    <row r="286" spans="1:3" ht="18" x14ac:dyDescent="0.25">
      <c r="A286" s="204" t="s">
        <v>945</v>
      </c>
      <c r="B286" s="205" t="s">
        <v>946</v>
      </c>
      <c r="C286" s="202" t="e">
        <f>+ROUND(SUMIFS('11.RESUMEN'!$D$12:$CE$12,'11.RESUMEN'!$D$11:$CE$11,A286)+SUMIFS('11.RESUMEN'!$D$18:$CI$18,'11.RESUMEN'!$D$17:$CI$17,A286)+SUMIFS('11.RESUMEN'!$D$25:$CD$25,'11.RESUMEN'!$D$24:$CH$24,A286)+SUMIFS('11.RESUMEN'!$D$29:$CI$29,'11.RESUMEN'!$D$28:$CI$28,A286)+SUMIFS('11.RESUMEN'!$D$34:$CD$34,'11.RESUMEN'!$D$33:$CD$33,A286)+SUMIFS('11.RESUMEN'!$D$39:$CD$39,'11.RESUMEN'!$D$38:$CD$38,A286)+SUMIFS('11.RESUMEN'!$D$44:$CE$44,'11.RESUMEN'!$D$43:$CE$43,A286)+SUMIFS('11.RESUMEN'!$D$50:$CD$50,'11.RESUMEN'!$D$49:$CD$49,A286),0)</f>
        <v>#VALUE!</v>
      </c>
    </row>
    <row r="287" spans="1:3" ht="18" x14ac:dyDescent="0.25">
      <c r="A287" s="200" t="s">
        <v>947</v>
      </c>
      <c r="B287" s="201" t="s">
        <v>948</v>
      </c>
      <c r="C287" s="202" t="e">
        <f>+ROUND(SUMIFS('11.RESUMEN'!$D$12:$CE$12,'11.RESUMEN'!$D$11:$CE$11,A287)+SUMIFS('11.RESUMEN'!$D$18:$CI$18,'11.RESUMEN'!$D$17:$CI$17,A287)+SUMIFS('11.RESUMEN'!$D$25:$CD$25,'11.RESUMEN'!$D$24:$CH$24,A287)+SUMIFS('11.RESUMEN'!$D$29:$CI$29,'11.RESUMEN'!$D$28:$CI$28,A287)+SUMIFS('11.RESUMEN'!$D$34:$CD$34,'11.RESUMEN'!$D$33:$CD$33,A287)+SUMIFS('11.RESUMEN'!$D$39:$CD$39,'11.RESUMEN'!$D$38:$CD$38,A287)+SUMIFS('11.RESUMEN'!$D$44:$CE$44,'11.RESUMEN'!$D$43:$CE$43,A287)+SUMIFS('11.RESUMEN'!$D$50:$CD$50,'11.RESUMEN'!$D$49:$CD$49,A287),0)</f>
        <v>#VALUE!</v>
      </c>
    </row>
    <row r="288" spans="1:3" ht="18" x14ac:dyDescent="0.25">
      <c r="A288" s="200" t="s">
        <v>949</v>
      </c>
      <c r="B288" s="201" t="s">
        <v>950</v>
      </c>
      <c r="C288" s="202" t="e">
        <f>+ROUND(SUMIFS('11.RESUMEN'!$D$12:$CE$12,'11.RESUMEN'!$D$11:$CE$11,A288)+SUMIFS('11.RESUMEN'!$D$18:$CI$18,'11.RESUMEN'!$D$17:$CI$17,A288)+SUMIFS('11.RESUMEN'!$D$25:$CD$25,'11.RESUMEN'!$D$24:$CH$24,A288)+SUMIFS('11.RESUMEN'!$D$29:$CI$29,'11.RESUMEN'!$D$28:$CI$28,A288)+SUMIFS('11.RESUMEN'!$D$34:$CD$34,'11.RESUMEN'!$D$33:$CD$33,A288)+SUMIFS('11.RESUMEN'!$D$39:$CD$39,'11.RESUMEN'!$D$38:$CD$38,A288)+SUMIFS('11.RESUMEN'!$D$44:$CE$44,'11.RESUMEN'!$D$43:$CE$43,A288)+SUMIFS('11.RESUMEN'!$D$50:$CD$50,'11.RESUMEN'!$D$49:$CD$49,A288),0)</f>
        <v>#VALUE!</v>
      </c>
    </row>
    <row r="289" spans="1:3" ht="36" x14ac:dyDescent="0.25">
      <c r="A289" s="200" t="s">
        <v>413</v>
      </c>
      <c r="B289" s="201" t="s">
        <v>951</v>
      </c>
      <c r="C289" s="202" t="e">
        <f>+ROUND(SUMIFS('11.RESUMEN'!$D$12:$CE$12,'11.RESUMEN'!$D$11:$CE$11,A289)+SUMIFS('11.RESUMEN'!$D$18:$CI$18,'11.RESUMEN'!$D$17:$CI$17,A289)+SUMIFS('11.RESUMEN'!$D$25:$CD$25,'11.RESUMEN'!$D$24:$CH$24,A289)+SUMIFS('11.RESUMEN'!$D$29:$CI$29,'11.RESUMEN'!$D$28:$CI$28,A289)+SUMIFS('11.RESUMEN'!$D$34:$CD$34,'11.RESUMEN'!$D$33:$CD$33,A289)+SUMIFS('11.RESUMEN'!$D$39:$CD$39,'11.RESUMEN'!$D$38:$CD$38,A289)+SUMIFS('11.RESUMEN'!$D$44:$CE$44,'11.RESUMEN'!$D$43:$CE$43,A289)+SUMIFS('11.RESUMEN'!$D$50:$CD$50,'11.RESUMEN'!$D$49:$CD$49,A289),0)</f>
        <v>#VALUE!</v>
      </c>
    </row>
    <row r="290" spans="1:3" ht="36" x14ac:dyDescent="0.25">
      <c r="A290" s="200" t="s">
        <v>415</v>
      </c>
      <c r="B290" s="201" t="s">
        <v>952</v>
      </c>
      <c r="C290" s="202" t="e">
        <f>+ROUND(SUMIFS('11.RESUMEN'!$D$12:$CE$12,'11.RESUMEN'!$D$11:$CE$11,A290)+SUMIFS('11.RESUMEN'!$D$18:$CI$18,'11.RESUMEN'!$D$17:$CI$17,A290)+SUMIFS('11.RESUMEN'!$D$25:$CD$25,'11.RESUMEN'!$D$24:$CH$24,A290)+SUMIFS('11.RESUMEN'!$D$29:$CI$29,'11.RESUMEN'!$D$28:$CI$28,A290)+SUMIFS('11.RESUMEN'!$D$34:$CD$34,'11.RESUMEN'!$D$33:$CD$33,A290)+SUMIFS('11.RESUMEN'!$D$39:$CD$39,'11.RESUMEN'!$D$38:$CD$38,A290)+SUMIFS('11.RESUMEN'!$D$44:$CE$44,'11.RESUMEN'!$D$43:$CE$43,A290)+SUMIFS('11.RESUMEN'!$D$50:$CD$50,'11.RESUMEN'!$D$49:$CD$49,A290),0)</f>
        <v>#VALUE!</v>
      </c>
    </row>
    <row r="291" spans="1:3" ht="36" x14ac:dyDescent="0.25">
      <c r="A291" s="200" t="s">
        <v>411</v>
      </c>
      <c r="B291" s="201" t="s">
        <v>953</v>
      </c>
      <c r="C291" s="202" t="e">
        <f>+ROUND(SUMIFS('11.RESUMEN'!$D$12:$CE$12,'11.RESUMEN'!$D$11:$CE$11,A291)+SUMIFS('11.RESUMEN'!$D$18:$CI$18,'11.RESUMEN'!$D$17:$CI$17,A291)+SUMIFS('11.RESUMEN'!$D$25:$CD$25,'11.RESUMEN'!$D$24:$CH$24,A291)+SUMIFS('11.RESUMEN'!$D$29:$CI$29,'11.RESUMEN'!$D$28:$CI$28,A291)+SUMIFS('11.RESUMEN'!$D$34:$CD$34,'11.RESUMEN'!$D$33:$CD$33,A291)+SUMIFS('11.RESUMEN'!$D$39:$CD$39,'11.RESUMEN'!$D$38:$CD$38,A291)+SUMIFS('11.RESUMEN'!$D$44:$CE$44,'11.RESUMEN'!$D$43:$CE$43,A291)+SUMIFS('11.RESUMEN'!$D$50:$CD$50,'11.RESUMEN'!$D$49:$CD$49,A291),0)</f>
        <v>#VALUE!</v>
      </c>
    </row>
    <row r="292" spans="1:3" ht="18" x14ac:dyDescent="0.25">
      <c r="A292" s="200" t="s">
        <v>954</v>
      </c>
      <c r="B292" s="201" t="s">
        <v>955</v>
      </c>
      <c r="C292" s="202" t="e">
        <f>+ROUND(SUMIFS('11.RESUMEN'!$D$12:$CE$12,'11.RESUMEN'!$D$11:$CE$11,A292)+SUMIFS('11.RESUMEN'!$D$18:$CI$18,'11.RESUMEN'!$D$17:$CI$17,A292)+SUMIFS('11.RESUMEN'!$D$25:$CD$25,'11.RESUMEN'!$D$24:$CH$24,A292)+SUMIFS('11.RESUMEN'!$D$29:$CI$29,'11.RESUMEN'!$D$28:$CI$28,A292)+SUMIFS('11.RESUMEN'!$D$34:$CD$34,'11.RESUMEN'!$D$33:$CD$33,A292)+SUMIFS('11.RESUMEN'!$D$39:$CD$39,'11.RESUMEN'!$D$38:$CD$38,A292)+SUMIFS('11.RESUMEN'!$D$44:$CE$44,'11.RESUMEN'!$D$43:$CE$43,A292)+SUMIFS('11.RESUMEN'!$D$50:$CD$50,'11.RESUMEN'!$D$49:$CD$49,A292),0)</f>
        <v>#VALUE!</v>
      </c>
    </row>
    <row r="293" spans="1:3" ht="36" x14ac:dyDescent="0.25">
      <c r="A293" s="200" t="s">
        <v>956</v>
      </c>
      <c r="B293" s="201" t="s">
        <v>957</v>
      </c>
      <c r="C293" s="202" t="e">
        <f>+ROUND(SUMIFS('11.RESUMEN'!$D$12:$CE$12,'11.RESUMEN'!$D$11:$CE$11,A293)+SUMIFS('11.RESUMEN'!$D$18:$CI$18,'11.RESUMEN'!$D$17:$CI$17,A293)+SUMIFS('11.RESUMEN'!$D$25:$CD$25,'11.RESUMEN'!$D$24:$CH$24,A293)+SUMIFS('11.RESUMEN'!$D$29:$CI$29,'11.RESUMEN'!$D$28:$CI$28,A293)+SUMIFS('11.RESUMEN'!$D$34:$CD$34,'11.RESUMEN'!$D$33:$CD$33,A293)+SUMIFS('11.RESUMEN'!$D$39:$CD$39,'11.RESUMEN'!$D$38:$CD$38,A293)+SUMIFS('11.RESUMEN'!$D$44:$CE$44,'11.RESUMEN'!$D$43:$CE$43,A293)+SUMIFS('11.RESUMEN'!$D$50:$CD$50,'11.RESUMEN'!$D$49:$CD$49,A293),0)</f>
        <v>#VALUE!</v>
      </c>
    </row>
    <row r="294" spans="1:3" ht="36" x14ac:dyDescent="0.25">
      <c r="A294" s="200" t="s">
        <v>958</v>
      </c>
      <c r="B294" s="201" t="s">
        <v>959</v>
      </c>
      <c r="C294" s="202" t="e">
        <f>+ROUND(SUMIFS('11.RESUMEN'!$D$12:$CE$12,'11.RESUMEN'!$D$11:$CE$11,A294)+SUMIFS('11.RESUMEN'!$D$18:$CI$18,'11.RESUMEN'!$D$17:$CI$17,A294)+SUMIFS('11.RESUMEN'!$D$25:$CD$25,'11.RESUMEN'!$D$24:$CH$24,A294)+SUMIFS('11.RESUMEN'!$D$29:$CI$29,'11.RESUMEN'!$D$28:$CI$28,A294)+SUMIFS('11.RESUMEN'!$D$34:$CD$34,'11.RESUMEN'!$D$33:$CD$33,A294)+SUMIFS('11.RESUMEN'!$D$39:$CD$39,'11.RESUMEN'!$D$38:$CD$38,A294)+SUMIFS('11.RESUMEN'!$D$44:$CE$44,'11.RESUMEN'!$D$43:$CE$43,A294)+SUMIFS('11.RESUMEN'!$D$50:$CD$50,'11.RESUMEN'!$D$49:$CD$49,A294),0)</f>
        <v>#VALUE!</v>
      </c>
    </row>
    <row r="295" spans="1:3" ht="36" x14ac:dyDescent="0.25">
      <c r="A295" s="200" t="s">
        <v>960</v>
      </c>
      <c r="B295" s="201" t="s">
        <v>961</v>
      </c>
      <c r="C295" s="202" t="e">
        <f>+ROUND(SUMIFS('11.RESUMEN'!$D$12:$CE$12,'11.RESUMEN'!$D$11:$CE$11,A295)+SUMIFS('11.RESUMEN'!$D$18:$CI$18,'11.RESUMEN'!$D$17:$CI$17,A295)+SUMIFS('11.RESUMEN'!$D$25:$CD$25,'11.RESUMEN'!$D$24:$CH$24,A295)+SUMIFS('11.RESUMEN'!$D$29:$CI$29,'11.RESUMEN'!$D$28:$CI$28,A295)+SUMIFS('11.RESUMEN'!$D$34:$CD$34,'11.RESUMEN'!$D$33:$CD$33,A295)+SUMIFS('11.RESUMEN'!$D$39:$CD$39,'11.RESUMEN'!$D$38:$CD$38,A295)+SUMIFS('11.RESUMEN'!$D$44:$CE$44,'11.RESUMEN'!$D$43:$CE$43,A295)+SUMIFS('11.RESUMEN'!$D$50:$CD$50,'11.RESUMEN'!$D$49:$CD$49,A295),0)</f>
        <v>#VALUE!</v>
      </c>
    </row>
    <row r="296" spans="1:3" ht="18" x14ac:dyDescent="0.25">
      <c r="A296" s="200" t="s">
        <v>248</v>
      </c>
      <c r="B296" s="201" t="s">
        <v>962</v>
      </c>
      <c r="C296" s="202" t="e">
        <f>+ROUND(SUMIFS('11.RESUMEN'!$D$12:$CE$12,'11.RESUMEN'!$D$11:$CE$11,A296)+SUMIFS('11.RESUMEN'!$D$18:$CI$18,'11.RESUMEN'!$D$17:$CI$17,A296)+SUMIFS('11.RESUMEN'!$D$25:$CD$25,'11.RESUMEN'!$D$24:$CH$24,A296)+SUMIFS('11.RESUMEN'!$D$29:$CI$29,'11.RESUMEN'!$D$28:$CI$28,A296)+SUMIFS('11.RESUMEN'!$D$34:$CD$34,'11.RESUMEN'!$D$33:$CD$33,A296)+SUMIFS('11.RESUMEN'!$D$39:$CD$39,'11.RESUMEN'!$D$38:$CD$38,A296)+SUMIFS('11.RESUMEN'!$D$44:$CE$44,'11.RESUMEN'!$D$43:$CE$43,A296)+SUMIFS('11.RESUMEN'!$D$50:$CD$50,'11.RESUMEN'!$D$49:$CD$49,A296),0)</f>
        <v>#VALUE!</v>
      </c>
    </row>
    <row r="297" spans="1:3" ht="54" x14ac:dyDescent="0.25">
      <c r="A297" s="197" t="s">
        <v>963</v>
      </c>
      <c r="B297" s="198" t="s">
        <v>964</v>
      </c>
      <c r="C297" s="199" t="e">
        <f>SUM(C298:C307)</f>
        <v>#VALUE!</v>
      </c>
    </row>
    <row r="298" spans="1:3" ht="36" x14ac:dyDescent="0.25">
      <c r="A298" s="200" t="s">
        <v>965</v>
      </c>
      <c r="B298" s="201" t="s">
        <v>966</v>
      </c>
      <c r="C298" s="202" t="e">
        <f>+ROUND(SUMIFS('11.RESUMEN'!$D$12:$CE$12,'11.RESUMEN'!$D$11:$CE$11,A298)+SUMIFS('11.RESUMEN'!$D$18:$CI$18,'11.RESUMEN'!$D$17:$CI$17,A298)+SUMIFS('11.RESUMEN'!$D$25:$CD$25,'11.RESUMEN'!$D$24:$CH$24,A298)+SUMIFS('11.RESUMEN'!$D$29:$CI$29,'11.RESUMEN'!$D$28:$CI$28,A298)+SUMIFS('11.RESUMEN'!$D$34:$CD$34,'11.RESUMEN'!$D$33:$CD$33,A298)+SUMIFS('11.RESUMEN'!$D$39:$CD$39,'11.RESUMEN'!$D$38:$CD$38,A298)+SUMIFS('11.RESUMEN'!$D$44:$CE$44,'11.RESUMEN'!$D$43:$CE$43,A298)+SUMIFS('11.RESUMEN'!$D$50:$CD$50,'11.RESUMEN'!$D$49:$CD$49,A298),0)</f>
        <v>#VALUE!</v>
      </c>
    </row>
    <row r="299" spans="1:3" ht="18" x14ac:dyDescent="0.25">
      <c r="A299" s="200" t="s">
        <v>410</v>
      </c>
      <c r="B299" s="201" t="s">
        <v>967</v>
      </c>
      <c r="C299" s="202" t="e">
        <f>+ROUND(SUMIFS('11.RESUMEN'!$D$12:$CE$12,'11.RESUMEN'!$D$11:$CE$11,A299)+SUMIFS('11.RESUMEN'!$D$18:$CI$18,'11.RESUMEN'!$D$17:$CI$17,A299)+SUMIFS('11.RESUMEN'!$D$25:$CD$25,'11.RESUMEN'!$D$24:$CH$24,A299)+SUMIFS('11.RESUMEN'!$D$29:$CI$29,'11.RESUMEN'!$D$28:$CI$28,A299)+SUMIFS('11.RESUMEN'!$D$34:$CD$34,'11.RESUMEN'!$D$33:$CD$33,A299)+SUMIFS('11.RESUMEN'!$D$39:$CD$39,'11.RESUMEN'!$D$38:$CD$38,A299)+SUMIFS('11.RESUMEN'!$D$44:$CE$44,'11.RESUMEN'!$D$43:$CE$43,A299)+SUMIFS('11.RESUMEN'!$D$50:$CD$50,'11.RESUMEN'!$D$49:$CD$49,A299),0)</f>
        <v>#VALUE!</v>
      </c>
    </row>
    <row r="300" spans="1:3" ht="36" x14ac:dyDescent="0.25">
      <c r="A300" s="200" t="s">
        <v>968</v>
      </c>
      <c r="B300" s="201" t="s">
        <v>969</v>
      </c>
      <c r="C300" s="202" t="e">
        <f>+ROUND(SUMIFS('11.RESUMEN'!$D$12:$CE$12,'11.RESUMEN'!$D$11:$CE$11,A300)+SUMIFS('11.RESUMEN'!$D$18:$CI$18,'11.RESUMEN'!$D$17:$CI$17,A300)+SUMIFS('11.RESUMEN'!$D$25:$CD$25,'11.RESUMEN'!$D$24:$CH$24,A300)+SUMIFS('11.RESUMEN'!$D$29:$CI$29,'11.RESUMEN'!$D$28:$CI$28,A300)+SUMIFS('11.RESUMEN'!$D$34:$CD$34,'11.RESUMEN'!$D$33:$CD$33,A300)+SUMIFS('11.RESUMEN'!$D$39:$CD$39,'11.RESUMEN'!$D$38:$CD$38,A300)+SUMIFS('11.RESUMEN'!$D$44:$CE$44,'11.RESUMEN'!$D$43:$CE$43,A300)+SUMIFS('11.RESUMEN'!$D$50:$CD$50,'11.RESUMEN'!$D$49:$CD$49,A300),0)</f>
        <v>#VALUE!</v>
      </c>
    </row>
    <row r="301" spans="1:3" ht="18" x14ac:dyDescent="0.25">
      <c r="A301" s="200" t="s">
        <v>970</v>
      </c>
      <c r="B301" s="201" t="s">
        <v>971</v>
      </c>
      <c r="C301" s="202" t="e">
        <f>+ROUND(SUMIFS('11.RESUMEN'!$D$12:$CE$12,'11.RESUMEN'!$D$11:$CE$11,A301)+SUMIFS('11.RESUMEN'!$D$18:$CI$18,'11.RESUMEN'!$D$17:$CI$17,A301)+SUMIFS('11.RESUMEN'!$D$25:$CD$25,'11.RESUMEN'!$D$24:$CH$24,A301)+SUMIFS('11.RESUMEN'!$D$29:$CI$29,'11.RESUMEN'!$D$28:$CI$28,A301)+SUMIFS('11.RESUMEN'!$D$34:$CD$34,'11.RESUMEN'!$D$33:$CD$33,A301)+SUMIFS('11.RESUMEN'!$D$39:$CD$39,'11.RESUMEN'!$D$38:$CD$38,A301)+SUMIFS('11.RESUMEN'!$D$44:$CE$44,'11.RESUMEN'!$D$43:$CE$43,A301)+SUMIFS('11.RESUMEN'!$D$50:$CD$50,'11.RESUMEN'!$D$49:$CD$49,A301),0)</f>
        <v>#VALUE!</v>
      </c>
    </row>
    <row r="302" spans="1:3" ht="36" x14ac:dyDescent="0.25">
      <c r="A302" s="200" t="s">
        <v>972</v>
      </c>
      <c r="B302" s="201" t="s">
        <v>973</v>
      </c>
      <c r="C302" s="202" t="e">
        <f>+ROUND(SUMIFS('11.RESUMEN'!$D$12:$CE$12,'11.RESUMEN'!$D$11:$CE$11,A302)+SUMIFS('11.RESUMEN'!$D$18:$CI$18,'11.RESUMEN'!$D$17:$CI$17,A302)+SUMIFS('11.RESUMEN'!$D$25:$CD$25,'11.RESUMEN'!$D$24:$CH$24,A302)+SUMIFS('11.RESUMEN'!$D$29:$CI$29,'11.RESUMEN'!$D$28:$CI$28,A302)+SUMIFS('11.RESUMEN'!$D$34:$CD$34,'11.RESUMEN'!$D$33:$CD$33,A302)+SUMIFS('11.RESUMEN'!$D$39:$CD$39,'11.RESUMEN'!$D$38:$CD$38,A302)+SUMIFS('11.RESUMEN'!$D$44:$CE$44,'11.RESUMEN'!$D$43:$CE$43,A302)+SUMIFS('11.RESUMEN'!$D$50:$CD$50,'11.RESUMEN'!$D$49:$CD$49,A302),0)</f>
        <v>#VALUE!</v>
      </c>
    </row>
    <row r="303" spans="1:3" ht="36" x14ac:dyDescent="0.25">
      <c r="A303" s="200" t="s">
        <v>414</v>
      </c>
      <c r="B303" s="201" t="s">
        <v>974</v>
      </c>
      <c r="C303" s="202" t="e">
        <f>+ROUND(SUMIFS('11.RESUMEN'!$D$12:$CE$12,'11.RESUMEN'!$D$11:$CE$11,A303)+SUMIFS('11.RESUMEN'!$D$18:$CI$18,'11.RESUMEN'!$D$17:$CI$17,A303)+SUMIFS('11.RESUMEN'!$D$25:$CD$25,'11.RESUMEN'!$D$24:$CH$24,A303)+SUMIFS('11.RESUMEN'!$D$29:$CI$29,'11.RESUMEN'!$D$28:$CI$28,A303)+SUMIFS('11.RESUMEN'!$D$34:$CD$34,'11.RESUMEN'!$D$33:$CD$33,A303)+SUMIFS('11.RESUMEN'!$D$39:$CD$39,'11.RESUMEN'!$D$38:$CD$38,A303)+SUMIFS('11.RESUMEN'!$D$44:$CE$44,'11.RESUMEN'!$D$43:$CE$43,A303)+SUMIFS('11.RESUMEN'!$D$50:$CD$50,'11.RESUMEN'!$D$49:$CD$49,A303),0)</f>
        <v>#VALUE!</v>
      </c>
    </row>
    <row r="304" spans="1:3" ht="54" x14ac:dyDescent="0.25">
      <c r="A304" s="200" t="s">
        <v>975</v>
      </c>
      <c r="B304" s="201" t="s">
        <v>976</v>
      </c>
      <c r="C304" s="202" t="e">
        <f>+ROUND(SUMIFS('11.RESUMEN'!$D$12:$CE$12,'11.RESUMEN'!$D$11:$CE$11,A304)+SUMIFS('11.RESUMEN'!$D$18:$CI$18,'11.RESUMEN'!$D$17:$CI$17,A304)+SUMIFS('11.RESUMEN'!$D$25:$CD$25,'11.RESUMEN'!$D$24:$CH$24,A304)+SUMIFS('11.RESUMEN'!$D$29:$CI$29,'11.RESUMEN'!$D$28:$CI$28,A304)+SUMIFS('11.RESUMEN'!$D$34:$CD$34,'11.RESUMEN'!$D$33:$CD$33,A304)+SUMIFS('11.RESUMEN'!$D$39:$CD$39,'11.RESUMEN'!$D$38:$CD$38,A304)+SUMIFS('11.RESUMEN'!$D$44:$CE$44,'11.RESUMEN'!$D$43:$CE$43,A304)+SUMIFS('11.RESUMEN'!$D$50:$CD$50,'11.RESUMEN'!$D$49:$CD$49,A304),0)</f>
        <v>#VALUE!</v>
      </c>
    </row>
    <row r="305" spans="1:3" ht="36" x14ac:dyDescent="0.25">
      <c r="A305" s="200" t="s">
        <v>977</v>
      </c>
      <c r="B305" s="201" t="s">
        <v>978</v>
      </c>
      <c r="C305" s="202" t="e">
        <f>+ROUND(SUMIFS('11.RESUMEN'!$D$12:$CE$12,'11.RESUMEN'!$D$11:$CE$11,A305)+SUMIFS('11.RESUMEN'!$D$18:$CI$18,'11.RESUMEN'!$D$17:$CI$17,A305)+SUMIFS('11.RESUMEN'!$D$25:$CD$25,'11.RESUMEN'!$D$24:$CH$24,A305)+SUMIFS('11.RESUMEN'!$D$29:$CI$29,'11.RESUMEN'!$D$28:$CI$28,A305)+SUMIFS('11.RESUMEN'!$D$34:$CD$34,'11.RESUMEN'!$D$33:$CD$33,A305)+SUMIFS('11.RESUMEN'!$D$39:$CD$39,'11.RESUMEN'!$D$38:$CD$38,A305)+SUMIFS('11.RESUMEN'!$D$44:$CE$44,'11.RESUMEN'!$D$43:$CE$43,A305)+SUMIFS('11.RESUMEN'!$D$50:$CD$50,'11.RESUMEN'!$D$49:$CD$49,A305),0)</f>
        <v>#VALUE!</v>
      </c>
    </row>
    <row r="306" spans="1:3" ht="36" x14ac:dyDescent="0.25">
      <c r="A306" s="200" t="s">
        <v>979</v>
      </c>
      <c r="B306" s="201" t="s">
        <v>980</v>
      </c>
      <c r="C306" s="202" t="e">
        <f>+ROUND(SUMIFS('11.RESUMEN'!$D$12:$CE$12,'11.RESUMEN'!$D$11:$CE$11,A306)+SUMIFS('11.RESUMEN'!$D$18:$CI$18,'11.RESUMEN'!$D$17:$CI$17,A306)+SUMIFS('11.RESUMEN'!$D$25:$CD$25,'11.RESUMEN'!$D$24:$CH$24,A306)+SUMIFS('11.RESUMEN'!$D$29:$CI$29,'11.RESUMEN'!$D$28:$CI$28,A306)+SUMIFS('11.RESUMEN'!$D$34:$CD$34,'11.RESUMEN'!$D$33:$CD$33,A306)+SUMIFS('11.RESUMEN'!$D$39:$CD$39,'11.RESUMEN'!$D$38:$CD$38,A306)+SUMIFS('11.RESUMEN'!$D$44:$CE$44,'11.RESUMEN'!$D$43:$CE$43,A306)+SUMIFS('11.RESUMEN'!$D$50:$CD$50,'11.RESUMEN'!$D$49:$CD$49,A306),0)</f>
        <v>#VALUE!</v>
      </c>
    </row>
    <row r="307" spans="1:3" ht="36" x14ac:dyDescent="0.25">
      <c r="A307" s="200" t="s">
        <v>412</v>
      </c>
      <c r="B307" s="201" t="s">
        <v>981</v>
      </c>
      <c r="C307" s="202" t="e">
        <f>+ROUND(SUMIFS('11.RESUMEN'!$D$12:$CE$12,'11.RESUMEN'!$D$11:$CE$11,A307)+SUMIFS('11.RESUMEN'!$D$18:$CI$18,'11.RESUMEN'!$D$17:$CI$17,A307)+SUMIFS('11.RESUMEN'!$D$25:$CD$25,'11.RESUMEN'!$D$24:$CH$24,A307)+SUMIFS('11.RESUMEN'!$D$29:$CI$29,'11.RESUMEN'!$D$28:$CI$28,A307)+SUMIFS('11.RESUMEN'!$D$34:$CD$34,'11.RESUMEN'!$D$33:$CD$33,A307)+SUMIFS('11.RESUMEN'!$D$39:$CD$39,'11.RESUMEN'!$D$38:$CD$38,A307)+SUMIFS('11.RESUMEN'!$D$44:$CE$44,'11.RESUMEN'!$D$43:$CE$43,A307)+SUMIFS('11.RESUMEN'!$D$50:$CD$50,'11.RESUMEN'!$D$49:$CD$49,A307),0)</f>
        <v>#VALUE!</v>
      </c>
    </row>
    <row r="308" spans="1:3" ht="54" x14ac:dyDescent="0.25">
      <c r="A308" s="197" t="s">
        <v>982</v>
      </c>
      <c r="B308" s="198" t="s">
        <v>983</v>
      </c>
      <c r="C308" s="199" t="e">
        <f>SUM(C309:C318)</f>
        <v>#VALUE!</v>
      </c>
    </row>
    <row r="309" spans="1:3" ht="36" x14ac:dyDescent="0.25">
      <c r="A309" s="200" t="s">
        <v>984</v>
      </c>
      <c r="B309" s="201" t="s">
        <v>985</v>
      </c>
      <c r="C309" s="202" t="e">
        <f>+ROUND(SUMIFS('11.RESUMEN'!$D$12:$CE$12,'11.RESUMEN'!$D$11:$CE$11,A309)+SUMIFS('11.RESUMEN'!$D$18:$CI$18,'11.RESUMEN'!$D$17:$CI$17,A309)+SUMIFS('11.RESUMEN'!$D$25:$CD$25,'11.RESUMEN'!$D$24:$CH$24,A309)+SUMIFS('11.RESUMEN'!$D$29:$CI$29,'11.RESUMEN'!$D$28:$CI$28,A309)+SUMIFS('11.RESUMEN'!$D$34:$CD$34,'11.RESUMEN'!$D$33:$CD$33,A309)+SUMIFS('11.RESUMEN'!$D$39:$CD$39,'11.RESUMEN'!$D$38:$CD$38,A309)+SUMIFS('11.RESUMEN'!$D$44:$CE$44,'11.RESUMEN'!$D$43:$CE$43,A309)+SUMIFS('11.RESUMEN'!$D$50:$CD$50,'11.RESUMEN'!$D$49:$CD$49,A309),0)</f>
        <v>#VALUE!</v>
      </c>
    </row>
    <row r="310" spans="1:3" ht="18" x14ac:dyDescent="0.25">
      <c r="A310" s="200" t="s">
        <v>986</v>
      </c>
      <c r="B310" s="201" t="s">
        <v>987</v>
      </c>
      <c r="C310" s="202" t="e">
        <f>+ROUND(SUMIFS('11.RESUMEN'!$D$12:$CE$12,'11.RESUMEN'!$D$11:$CE$11,A310)+SUMIFS('11.RESUMEN'!$D$18:$CI$18,'11.RESUMEN'!$D$17:$CI$17,A310)+SUMIFS('11.RESUMEN'!$D$25:$CD$25,'11.RESUMEN'!$D$24:$CH$24,A310)+SUMIFS('11.RESUMEN'!$D$29:$CI$29,'11.RESUMEN'!$D$28:$CI$28,A310)+SUMIFS('11.RESUMEN'!$D$34:$CD$34,'11.RESUMEN'!$D$33:$CD$33,A310)+SUMIFS('11.RESUMEN'!$D$39:$CD$39,'11.RESUMEN'!$D$38:$CD$38,A310)+SUMIFS('11.RESUMEN'!$D$44:$CE$44,'11.RESUMEN'!$D$43:$CE$43,A310)+SUMIFS('11.RESUMEN'!$D$50:$CD$50,'11.RESUMEN'!$D$49:$CD$49,A310),0)</f>
        <v>#VALUE!</v>
      </c>
    </row>
    <row r="311" spans="1:3" ht="36" x14ac:dyDescent="0.25">
      <c r="A311" s="200" t="s">
        <v>988</v>
      </c>
      <c r="B311" s="201" t="s">
        <v>989</v>
      </c>
      <c r="C311" s="202" t="e">
        <f>+ROUND(SUMIFS('11.RESUMEN'!$D$12:$CE$12,'11.RESUMEN'!$D$11:$CE$11,A311)+SUMIFS('11.RESUMEN'!$D$18:$CI$18,'11.RESUMEN'!$D$17:$CI$17,A311)+SUMIFS('11.RESUMEN'!$D$25:$CD$25,'11.RESUMEN'!$D$24:$CH$24,A311)+SUMIFS('11.RESUMEN'!$D$29:$CI$29,'11.RESUMEN'!$D$28:$CI$28,A311)+SUMIFS('11.RESUMEN'!$D$34:$CD$34,'11.RESUMEN'!$D$33:$CD$33,A311)+SUMIFS('11.RESUMEN'!$D$39:$CD$39,'11.RESUMEN'!$D$38:$CD$38,A311)+SUMIFS('11.RESUMEN'!$D$44:$CE$44,'11.RESUMEN'!$D$43:$CE$43,A311)+SUMIFS('11.RESUMEN'!$D$50:$CD$50,'11.RESUMEN'!$D$49:$CD$49,A311),0)</f>
        <v>#VALUE!</v>
      </c>
    </row>
    <row r="312" spans="1:3" ht="18" x14ac:dyDescent="0.25">
      <c r="A312" s="200" t="s">
        <v>990</v>
      </c>
      <c r="B312" s="201" t="s">
        <v>991</v>
      </c>
      <c r="C312" s="202" t="e">
        <f>+ROUND(SUMIFS('11.RESUMEN'!$D$12:$CE$12,'11.RESUMEN'!$D$11:$CE$11,A312)+SUMIFS('11.RESUMEN'!$D$18:$CI$18,'11.RESUMEN'!$D$17:$CI$17,A312)+SUMIFS('11.RESUMEN'!$D$25:$CD$25,'11.RESUMEN'!$D$24:$CH$24,A312)+SUMIFS('11.RESUMEN'!$D$29:$CI$29,'11.RESUMEN'!$D$28:$CI$28,A312)+SUMIFS('11.RESUMEN'!$D$34:$CD$34,'11.RESUMEN'!$D$33:$CD$33,A312)+SUMIFS('11.RESUMEN'!$D$39:$CD$39,'11.RESUMEN'!$D$38:$CD$38,A312)+SUMIFS('11.RESUMEN'!$D$44:$CE$44,'11.RESUMEN'!$D$43:$CE$43,A312)+SUMIFS('11.RESUMEN'!$D$50:$CD$50,'11.RESUMEN'!$D$49:$CD$49,A312),0)</f>
        <v>#VALUE!</v>
      </c>
    </row>
    <row r="313" spans="1:3" ht="36" x14ac:dyDescent="0.25">
      <c r="A313" s="200" t="s">
        <v>992</v>
      </c>
      <c r="B313" s="201" t="s">
        <v>993</v>
      </c>
      <c r="C313" s="202" t="e">
        <f>+ROUND(SUMIFS('11.RESUMEN'!$D$12:$CE$12,'11.RESUMEN'!$D$11:$CE$11,A313)+SUMIFS('11.RESUMEN'!$D$18:$CI$18,'11.RESUMEN'!$D$17:$CI$17,A313)+SUMIFS('11.RESUMEN'!$D$25:$CD$25,'11.RESUMEN'!$D$24:$CH$24,A313)+SUMIFS('11.RESUMEN'!$D$29:$CI$29,'11.RESUMEN'!$D$28:$CI$28,A313)+SUMIFS('11.RESUMEN'!$D$34:$CD$34,'11.RESUMEN'!$D$33:$CD$33,A313)+SUMIFS('11.RESUMEN'!$D$39:$CD$39,'11.RESUMEN'!$D$38:$CD$38,A313)+SUMIFS('11.RESUMEN'!$D$44:$CE$44,'11.RESUMEN'!$D$43:$CE$43,A313)+SUMIFS('11.RESUMEN'!$D$50:$CD$50,'11.RESUMEN'!$D$49:$CD$49,A313),0)</f>
        <v>#VALUE!</v>
      </c>
    </row>
    <row r="314" spans="1:3" ht="36" x14ac:dyDescent="0.25">
      <c r="A314" s="200" t="s">
        <v>994</v>
      </c>
      <c r="B314" s="201" t="s">
        <v>995</v>
      </c>
      <c r="C314" s="202" t="e">
        <f>+ROUND(SUMIFS('11.RESUMEN'!$D$12:$CE$12,'11.RESUMEN'!$D$11:$CE$11,A314)+SUMIFS('11.RESUMEN'!$D$18:$CI$18,'11.RESUMEN'!$D$17:$CI$17,A314)+SUMIFS('11.RESUMEN'!$D$25:$CD$25,'11.RESUMEN'!$D$24:$CH$24,A314)+SUMIFS('11.RESUMEN'!$D$29:$CI$29,'11.RESUMEN'!$D$28:$CI$28,A314)+SUMIFS('11.RESUMEN'!$D$34:$CD$34,'11.RESUMEN'!$D$33:$CD$33,A314)+SUMIFS('11.RESUMEN'!$D$39:$CD$39,'11.RESUMEN'!$D$38:$CD$38,A314)+SUMIFS('11.RESUMEN'!$D$44:$CE$44,'11.RESUMEN'!$D$43:$CE$43,A314)+SUMIFS('11.RESUMEN'!$D$50:$CD$50,'11.RESUMEN'!$D$49:$CD$49,A314),0)</f>
        <v>#VALUE!</v>
      </c>
    </row>
    <row r="315" spans="1:3" ht="54" x14ac:dyDescent="0.25">
      <c r="A315" s="200" t="s">
        <v>996</v>
      </c>
      <c r="B315" s="201" t="s">
        <v>997</v>
      </c>
      <c r="C315" s="202" t="e">
        <f>+ROUND(SUMIFS('11.RESUMEN'!$D$12:$CE$12,'11.RESUMEN'!$D$11:$CE$11,A315)+SUMIFS('11.RESUMEN'!$D$18:$CI$18,'11.RESUMEN'!$D$17:$CI$17,A315)+SUMIFS('11.RESUMEN'!$D$25:$CD$25,'11.RESUMEN'!$D$24:$CH$24,A315)+SUMIFS('11.RESUMEN'!$D$29:$CI$29,'11.RESUMEN'!$D$28:$CI$28,A315)+SUMIFS('11.RESUMEN'!$D$34:$CD$34,'11.RESUMEN'!$D$33:$CD$33,A315)+SUMIFS('11.RESUMEN'!$D$39:$CD$39,'11.RESUMEN'!$D$38:$CD$38,A315)+SUMIFS('11.RESUMEN'!$D$44:$CE$44,'11.RESUMEN'!$D$43:$CE$43,A315)+SUMIFS('11.RESUMEN'!$D$50:$CD$50,'11.RESUMEN'!$D$49:$CD$49,A315),0)</f>
        <v>#VALUE!</v>
      </c>
    </row>
    <row r="316" spans="1:3" ht="36" x14ac:dyDescent="0.25">
      <c r="A316" s="200" t="s">
        <v>998</v>
      </c>
      <c r="B316" s="201" t="s">
        <v>999</v>
      </c>
      <c r="C316" s="202" t="e">
        <f>+ROUND(SUMIFS('11.RESUMEN'!$D$12:$CE$12,'11.RESUMEN'!$D$11:$CE$11,A316)+SUMIFS('11.RESUMEN'!$D$18:$CI$18,'11.RESUMEN'!$D$17:$CI$17,A316)+SUMIFS('11.RESUMEN'!$D$25:$CD$25,'11.RESUMEN'!$D$24:$CH$24,A316)+SUMIFS('11.RESUMEN'!$D$29:$CI$29,'11.RESUMEN'!$D$28:$CI$28,A316)+SUMIFS('11.RESUMEN'!$D$34:$CD$34,'11.RESUMEN'!$D$33:$CD$33,A316)+SUMIFS('11.RESUMEN'!$D$39:$CD$39,'11.RESUMEN'!$D$38:$CD$38,A316)+SUMIFS('11.RESUMEN'!$D$44:$CE$44,'11.RESUMEN'!$D$43:$CE$43,A316)+SUMIFS('11.RESUMEN'!$D$50:$CD$50,'11.RESUMEN'!$D$49:$CD$49,A316),0)</f>
        <v>#VALUE!</v>
      </c>
    </row>
    <row r="317" spans="1:3" ht="36" x14ac:dyDescent="0.25">
      <c r="A317" s="200" t="s">
        <v>1000</v>
      </c>
      <c r="B317" s="201" t="s">
        <v>1001</v>
      </c>
      <c r="C317" s="202" t="e">
        <f>+ROUND(SUMIFS('11.RESUMEN'!$D$12:$CE$12,'11.RESUMEN'!$D$11:$CE$11,A317)+SUMIFS('11.RESUMEN'!$D$18:$CI$18,'11.RESUMEN'!$D$17:$CI$17,A317)+SUMIFS('11.RESUMEN'!$D$25:$CD$25,'11.RESUMEN'!$D$24:$CH$24,A317)+SUMIFS('11.RESUMEN'!$D$29:$CI$29,'11.RESUMEN'!$D$28:$CI$28,A317)+SUMIFS('11.RESUMEN'!$D$34:$CD$34,'11.RESUMEN'!$D$33:$CD$33,A317)+SUMIFS('11.RESUMEN'!$D$39:$CD$39,'11.RESUMEN'!$D$38:$CD$38,A317)+SUMIFS('11.RESUMEN'!$D$44:$CE$44,'11.RESUMEN'!$D$43:$CE$43,A317)+SUMIFS('11.RESUMEN'!$D$50:$CD$50,'11.RESUMEN'!$D$49:$CD$49,A317),0)</f>
        <v>#VALUE!</v>
      </c>
    </row>
    <row r="318" spans="1:3" ht="36" x14ac:dyDescent="0.25">
      <c r="A318" s="200" t="s">
        <v>1002</v>
      </c>
      <c r="B318" s="201" t="s">
        <v>1003</v>
      </c>
      <c r="C318" s="202" t="e">
        <f>+ROUND(SUMIFS('11.RESUMEN'!$D$12:$CE$12,'11.RESUMEN'!$D$11:$CE$11,A318)+SUMIFS('11.RESUMEN'!$D$18:$CI$18,'11.RESUMEN'!$D$17:$CI$17,A318)+SUMIFS('11.RESUMEN'!$D$25:$CD$25,'11.RESUMEN'!$D$24:$CH$24,A318)+SUMIFS('11.RESUMEN'!$D$29:$CI$29,'11.RESUMEN'!$D$28:$CI$28,A318)+SUMIFS('11.RESUMEN'!$D$34:$CD$34,'11.RESUMEN'!$D$33:$CD$33,A318)+SUMIFS('11.RESUMEN'!$D$39:$CD$39,'11.RESUMEN'!$D$38:$CD$38,A318)+SUMIFS('11.RESUMEN'!$D$44:$CE$44,'11.RESUMEN'!$D$43:$CE$43,A318)+SUMIFS('11.RESUMEN'!$D$50:$CD$50,'11.RESUMEN'!$D$49:$CD$49,A318),0)</f>
        <v>#VALUE!</v>
      </c>
    </row>
    <row r="319" spans="1:3" ht="18" customHeight="1" x14ac:dyDescent="0.2">
      <c r="A319" s="250" t="s">
        <v>1004</v>
      </c>
      <c r="B319" s="250"/>
      <c r="C319" s="206" t="e">
        <f>+C11+C265+C268+C282</f>
        <v>#VALUE!</v>
      </c>
    </row>
    <row r="320" spans="1:3" ht="46.9" customHeight="1" x14ac:dyDescent="0.2"/>
    <row r="321" spans="2:3" ht="30.95" customHeight="1" x14ac:dyDescent="0.2">
      <c r="B321" s="191" t="s">
        <v>428</v>
      </c>
      <c r="C321" s="207">
        <f>+ROUND('11.RESUMEN'!D55,0)</f>
        <v>0</v>
      </c>
    </row>
    <row r="323" spans="2:3" ht="42.95" customHeight="1" x14ac:dyDescent="0.2">
      <c r="B323" s="191" t="s">
        <v>1005</v>
      </c>
      <c r="C323" s="208" t="e">
        <f>+IF(C321=C319,"Distribución Presupuestaria y Resumen OK","Revisar Hay Descuadre")</f>
        <v>#VALUE!</v>
      </c>
    </row>
  </sheetData>
  <mergeCells count="2">
    <mergeCell ref="A8:C9"/>
    <mergeCell ref="A319:B319"/>
  </mergeCells>
  <conditionalFormatting sqref="C323">
    <cfRule type="containsText" dxfId="1" priority="2" operator="containsText" text="revisar"/>
    <cfRule type="cellIs" dxfId="0" priority="3" operator="equal">
      <formula>0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3:CG119"/>
  <sheetViews>
    <sheetView showGridLines="0" tabSelected="1" zoomScale="60" zoomScaleNormal="60" workbookViewId="0">
      <selection activeCell="M29" sqref="M29"/>
    </sheetView>
  </sheetViews>
  <sheetFormatPr baseColWidth="10" defaultColWidth="9.140625" defaultRowHeight="12.75" x14ac:dyDescent="0.2"/>
  <cols>
    <col min="1" max="1" width="8.28515625" customWidth="1"/>
    <col min="2" max="2" width="23.85546875" customWidth="1"/>
    <col min="3" max="3" width="27.140625" customWidth="1"/>
    <col min="4" max="4" width="27.85546875" customWidth="1"/>
    <col min="5" max="5" width="29.42578125" customWidth="1"/>
    <col min="6" max="6" width="28.42578125" customWidth="1"/>
    <col min="7" max="8" width="8.42578125" customWidth="1"/>
    <col min="9" max="9" width="26.85546875" customWidth="1"/>
    <col min="10" max="10" width="32" customWidth="1"/>
    <col min="11" max="1025" width="8.42578125" customWidth="1"/>
  </cols>
  <sheetData>
    <row r="3" spans="1:10" ht="21" x14ac:dyDescent="0.2">
      <c r="B3" s="17" t="str">
        <f>+'1.DATOS'!C2</f>
        <v>CÓDIGO ENTE:</v>
      </c>
      <c r="C3" s="14" t="str">
        <f>+'1.DATOS'!D2</f>
        <v>A0000</v>
      </c>
      <c r="D3" s="14"/>
    </row>
    <row r="4" spans="1:10" ht="21" x14ac:dyDescent="0.2">
      <c r="B4" s="17" t="str">
        <f>+'1.DATOS'!C3</f>
        <v>NOMBRE ENTE:</v>
      </c>
      <c r="C4" s="14" t="str">
        <f>+'1.DATOS'!D3</f>
        <v>INSTITUCIÓN MODELO</v>
      </c>
      <c r="D4" s="14"/>
    </row>
    <row r="7" spans="1:10" x14ac:dyDescent="0.2">
      <c r="A7" s="8" t="s">
        <v>97</v>
      </c>
      <c r="B7" s="8"/>
      <c r="C7" s="8"/>
      <c r="D7" s="8"/>
      <c r="E7" s="8"/>
      <c r="F7" s="8"/>
    </row>
    <row r="8" spans="1:10" x14ac:dyDescent="0.2">
      <c r="A8" s="8"/>
      <c r="B8" s="8"/>
      <c r="C8" s="8"/>
      <c r="D8" s="8"/>
      <c r="E8" s="8"/>
      <c r="F8" s="8"/>
    </row>
    <row r="9" spans="1:10" x14ac:dyDescent="0.2">
      <c r="A9" s="8"/>
      <c r="B9" s="8"/>
      <c r="C9" s="8"/>
      <c r="D9" s="8"/>
      <c r="E9" s="8"/>
      <c r="F9" s="8"/>
    </row>
    <row r="12" spans="1:10" ht="30.75" customHeight="1" x14ac:dyDescent="0.2">
      <c r="A12" s="49" t="s">
        <v>98</v>
      </c>
      <c r="B12" s="49" t="s">
        <v>99</v>
      </c>
      <c r="C12" s="49" t="s">
        <v>100</v>
      </c>
      <c r="D12" s="49" t="s">
        <v>101</v>
      </c>
      <c r="E12" s="49" t="s">
        <v>70</v>
      </c>
      <c r="F12" s="49" t="s">
        <v>102</v>
      </c>
      <c r="I12" s="49" t="s">
        <v>103</v>
      </c>
      <c r="J12" s="49" t="s">
        <v>104</v>
      </c>
    </row>
    <row r="13" spans="1:10" ht="15.75" x14ac:dyDescent="0.25">
      <c r="A13" s="50">
        <v>1</v>
      </c>
      <c r="B13" s="48" t="s">
        <v>27</v>
      </c>
      <c r="C13" s="48" t="s">
        <v>32</v>
      </c>
      <c r="D13" s="48" t="s">
        <v>105</v>
      </c>
      <c r="E13" s="48">
        <v>0</v>
      </c>
      <c r="F13" s="51">
        <v>0</v>
      </c>
      <c r="I13" s="48" t="s">
        <v>105</v>
      </c>
      <c r="J13" s="48" t="s">
        <v>73</v>
      </c>
    </row>
    <row r="14" spans="1:10" ht="15.75" x14ac:dyDescent="0.25">
      <c r="A14" s="50">
        <f>'2.CARGOS-SALARIOS'!A13+1</f>
        <v>2</v>
      </c>
      <c r="B14" s="48" t="s">
        <v>106</v>
      </c>
      <c r="C14" s="48" t="s">
        <v>32</v>
      </c>
      <c r="D14" s="48" t="s">
        <v>107</v>
      </c>
      <c r="E14" s="48" t="s">
        <v>73</v>
      </c>
      <c r="F14" s="51">
        <v>1350311</v>
      </c>
      <c r="I14" s="48" t="s">
        <v>107</v>
      </c>
      <c r="J14" s="48" t="s">
        <v>74</v>
      </c>
    </row>
    <row r="15" spans="1:10" ht="15.75" x14ac:dyDescent="0.25">
      <c r="A15" s="50">
        <f>'2.CARGOS-SALARIOS'!A14+1</f>
        <v>3</v>
      </c>
      <c r="B15" s="48" t="s">
        <v>106</v>
      </c>
      <c r="C15" s="48" t="s">
        <v>32</v>
      </c>
      <c r="D15" s="48" t="s">
        <v>107</v>
      </c>
      <c r="E15" s="48" t="s">
        <v>74</v>
      </c>
      <c r="F15" s="51">
        <v>1144957</v>
      </c>
      <c r="I15" s="48" t="s">
        <v>108</v>
      </c>
      <c r="J15" s="48" t="s">
        <v>75</v>
      </c>
    </row>
    <row r="16" spans="1:10" ht="15" customHeight="1" x14ac:dyDescent="0.25">
      <c r="A16" s="50">
        <f>'2.CARGOS-SALARIOS'!A15+1</f>
        <v>4</v>
      </c>
      <c r="B16" s="48" t="s">
        <v>106</v>
      </c>
      <c r="C16" s="48" t="s">
        <v>32</v>
      </c>
      <c r="D16" s="48" t="s">
        <v>107</v>
      </c>
      <c r="E16" s="48" t="s">
        <v>75</v>
      </c>
      <c r="F16" s="51">
        <v>574442</v>
      </c>
      <c r="I16" s="48" t="s">
        <v>109</v>
      </c>
      <c r="J16" s="48" t="s">
        <v>81</v>
      </c>
    </row>
    <row r="17" spans="1:10" ht="15.75" x14ac:dyDescent="0.25">
      <c r="A17" s="50">
        <f>'2.CARGOS-SALARIOS'!A16+1</f>
        <v>5</v>
      </c>
      <c r="B17" s="48" t="s">
        <v>106</v>
      </c>
      <c r="C17" s="48" t="s">
        <v>32</v>
      </c>
      <c r="D17" s="48" t="s">
        <v>107</v>
      </c>
      <c r="E17" s="48" t="s">
        <v>81</v>
      </c>
      <c r="F17" s="51">
        <v>400735</v>
      </c>
      <c r="I17" s="48" t="s">
        <v>110</v>
      </c>
      <c r="J17" s="48" t="s">
        <v>82</v>
      </c>
    </row>
    <row r="18" spans="1:10" ht="15.75" x14ac:dyDescent="0.25">
      <c r="A18" s="50">
        <f>'2.CARGOS-SALARIOS'!A17+1</f>
        <v>6</v>
      </c>
      <c r="B18" s="48" t="s">
        <v>106</v>
      </c>
      <c r="C18" s="48" t="s">
        <v>32</v>
      </c>
      <c r="D18" s="48" t="s">
        <v>107</v>
      </c>
      <c r="E18" s="48" t="s">
        <v>82</v>
      </c>
      <c r="F18" s="51">
        <v>343487</v>
      </c>
      <c r="I18" s="48" t="s">
        <v>111</v>
      </c>
      <c r="J18" s="48" t="s">
        <v>83</v>
      </c>
    </row>
    <row r="19" spans="1:10" ht="15.75" x14ac:dyDescent="0.25">
      <c r="A19" s="50">
        <f>'2.CARGOS-SALARIOS'!A18+1</f>
        <v>7</v>
      </c>
      <c r="B19" s="48" t="s">
        <v>106</v>
      </c>
      <c r="C19" s="48" t="s">
        <v>32</v>
      </c>
      <c r="D19" s="48" t="s">
        <v>107</v>
      </c>
      <c r="E19" s="48" t="s">
        <v>83</v>
      </c>
      <c r="F19" s="51">
        <v>286239</v>
      </c>
      <c r="I19" s="48" t="s">
        <v>112</v>
      </c>
      <c r="J19" s="48" t="s">
        <v>84</v>
      </c>
    </row>
    <row r="20" spans="1:10" ht="15.75" x14ac:dyDescent="0.25">
      <c r="A20" s="50">
        <f>'2.CARGOS-SALARIOS'!A19+1</f>
        <v>8</v>
      </c>
      <c r="B20" s="48" t="s">
        <v>106</v>
      </c>
      <c r="C20" s="48" t="s">
        <v>32</v>
      </c>
      <c r="D20" s="48" t="s">
        <v>107</v>
      </c>
      <c r="E20" s="48" t="s">
        <v>84</v>
      </c>
      <c r="F20" s="51">
        <v>228991</v>
      </c>
      <c r="I20" s="48" t="s">
        <v>113</v>
      </c>
      <c r="J20" s="48" t="s">
        <v>85</v>
      </c>
    </row>
    <row r="21" spans="1:10" ht="15.75" x14ac:dyDescent="0.25">
      <c r="A21" s="50">
        <f>'2.CARGOS-SALARIOS'!A20+1</f>
        <v>9</v>
      </c>
      <c r="B21" s="48" t="s">
        <v>106</v>
      </c>
      <c r="C21" s="48" t="s">
        <v>32</v>
      </c>
      <c r="D21" s="48" t="s">
        <v>107</v>
      </c>
      <c r="E21" s="48" t="s">
        <v>85</v>
      </c>
      <c r="F21" s="51">
        <v>171744</v>
      </c>
      <c r="I21" s="48" t="s">
        <v>114</v>
      </c>
      <c r="J21" s="48" t="s">
        <v>86</v>
      </c>
    </row>
    <row r="22" spans="1:10" ht="15.75" x14ac:dyDescent="0.25">
      <c r="A22" s="50">
        <f>'2.CARGOS-SALARIOS'!A21+1</f>
        <v>10</v>
      </c>
      <c r="B22" s="48" t="s">
        <v>106</v>
      </c>
      <c r="C22" s="48" t="s">
        <v>32</v>
      </c>
      <c r="D22" s="48" t="s">
        <v>107</v>
      </c>
      <c r="E22" s="48" t="s">
        <v>86</v>
      </c>
      <c r="F22" s="51">
        <v>114496</v>
      </c>
      <c r="I22" s="48" t="s">
        <v>115</v>
      </c>
      <c r="J22" s="48" t="s">
        <v>74</v>
      </c>
    </row>
    <row r="23" spans="1:10" ht="15.75" x14ac:dyDescent="0.25">
      <c r="A23" s="50">
        <f>'2.CARGOS-SALARIOS'!A22+1</f>
        <v>11</v>
      </c>
      <c r="B23" s="48" t="s">
        <v>106</v>
      </c>
      <c r="C23" s="48" t="s">
        <v>32</v>
      </c>
      <c r="D23" s="48" t="s">
        <v>108</v>
      </c>
      <c r="E23" s="48" t="s">
        <v>73</v>
      </c>
      <c r="F23" s="51">
        <v>1526609</v>
      </c>
      <c r="I23" s="48" t="s">
        <v>116</v>
      </c>
      <c r="J23" s="48" t="s">
        <v>74</v>
      </c>
    </row>
    <row r="24" spans="1:10" ht="15.75" x14ac:dyDescent="0.25">
      <c r="A24" s="50">
        <f>'2.CARGOS-SALARIOS'!A23+1</f>
        <v>12</v>
      </c>
      <c r="B24" s="48" t="s">
        <v>106</v>
      </c>
      <c r="C24" s="48" t="s">
        <v>32</v>
      </c>
      <c r="D24" s="48" t="s">
        <v>108</v>
      </c>
      <c r="E24" s="48" t="s">
        <v>74</v>
      </c>
      <c r="F24" s="51">
        <v>1295733</v>
      </c>
      <c r="I24" s="48" t="s">
        <v>117</v>
      </c>
      <c r="J24" s="48" t="s">
        <v>74</v>
      </c>
    </row>
    <row r="25" spans="1:10" ht="15.75" x14ac:dyDescent="0.25">
      <c r="A25" s="50">
        <v>13</v>
      </c>
      <c r="B25" s="48" t="s">
        <v>106</v>
      </c>
      <c r="C25" s="48" t="s">
        <v>32</v>
      </c>
      <c r="D25" s="48" t="s">
        <v>108</v>
      </c>
      <c r="E25" s="48" t="s">
        <v>75</v>
      </c>
      <c r="F25" s="51">
        <v>645903</v>
      </c>
      <c r="I25" s="48" t="s">
        <v>118</v>
      </c>
      <c r="J25" s="48" t="s">
        <v>74</v>
      </c>
    </row>
    <row r="26" spans="1:10" ht="15.75" x14ac:dyDescent="0.25">
      <c r="A26" s="50">
        <v>14</v>
      </c>
      <c r="B26" s="48" t="s">
        <v>106</v>
      </c>
      <c r="C26" s="48" t="s">
        <v>32</v>
      </c>
      <c r="D26" s="48" t="s">
        <v>108</v>
      </c>
      <c r="E26" s="48" t="s">
        <v>81</v>
      </c>
      <c r="F26" s="51">
        <v>453507</v>
      </c>
      <c r="I26" s="48" t="s">
        <v>119</v>
      </c>
      <c r="J26" s="48" t="s">
        <v>74</v>
      </c>
    </row>
    <row r="27" spans="1:10" ht="15.75" x14ac:dyDescent="0.25">
      <c r="A27" s="50">
        <f>'2.CARGOS-SALARIOS'!A26+1</f>
        <v>15</v>
      </c>
      <c r="B27" s="48" t="s">
        <v>106</v>
      </c>
      <c r="C27" s="48" t="s">
        <v>32</v>
      </c>
      <c r="D27" s="48" t="s">
        <v>108</v>
      </c>
      <c r="E27" s="48" t="s">
        <v>82</v>
      </c>
      <c r="F27" s="51">
        <v>388720</v>
      </c>
      <c r="I27" s="48" t="s">
        <v>120</v>
      </c>
      <c r="J27" s="48" t="s">
        <v>74</v>
      </c>
    </row>
    <row r="28" spans="1:10" ht="15.75" x14ac:dyDescent="0.25">
      <c r="A28" s="50">
        <v>16</v>
      </c>
      <c r="B28" s="48" t="s">
        <v>106</v>
      </c>
      <c r="C28" s="48" t="s">
        <v>32</v>
      </c>
      <c r="D28" s="48" t="s">
        <v>108</v>
      </c>
      <c r="E28" s="48" t="s">
        <v>83</v>
      </c>
      <c r="F28" s="51">
        <v>323933</v>
      </c>
      <c r="I28" s="48" t="s">
        <v>121</v>
      </c>
      <c r="J28" s="48" t="s">
        <v>74</v>
      </c>
    </row>
    <row r="29" spans="1:10" ht="15.75" x14ac:dyDescent="0.25">
      <c r="A29" s="50">
        <v>17</v>
      </c>
      <c r="B29" s="48" t="s">
        <v>106</v>
      </c>
      <c r="C29" s="48" t="s">
        <v>32</v>
      </c>
      <c r="D29" s="48" t="s">
        <v>108</v>
      </c>
      <c r="E29" s="48" t="s">
        <v>84</v>
      </c>
      <c r="F29" s="51">
        <v>259147</v>
      </c>
      <c r="I29" s="48" t="s">
        <v>122</v>
      </c>
      <c r="J29" s="48" t="s">
        <v>74</v>
      </c>
    </row>
    <row r="30" spans="1:10" ht="15.75" x14ac:dyDescent="0.25">
      <c r="A30" s="50">
        <f>'2.CARGOS-SALARIOS'!A29+1</f>
        <v>18</v>
      </c>
      <c r="B30" s="48" t="s">
        <v>106</v>
      </c>
      <c r="C30" s="48" t="s">
        <v>32</v>
      </c>
      <c r="D30" s="48" t="s">
        <v>108</v>
      </c>
      <c r="E30" s="48" t="s">
        <v>85</v>
      </c>
      <c r="F30" s="51">
        <v>194360</v>
      </c>
      <c r="I30" s="48" t="s">
        <v>123</v>
      </c>
      <c r="J30" s="48" t="s">
        <v>74</v>
      </c>
    </row>
    <row r="31" spans="1:10" ht="15.75" x14ac:dyDescent="0.25">
      <c r="A31" s="50">
        <f>'2.CARGOS-SALARIOS'!A30+1</f>
        <v>19</v>
      </c>
      <c r="B31" s="48" t="s">
        <v>106</v>
      </c>
      <c r="C31" s="48" t="s">
        <v>32</v>
      </c>
      <c r="D31" s="48" t="s">
        <v>108</v>
      </c>
      <c r="E31" s="48" t="s">
        <v>86</v>
      </c>
      <c r="F31" s="51">
        <v>129573</v>
      </c>
      <c r="I31" s="48" t="s">
        <v>124</v>
      </c>
      <c r="J31" s="48" t="s">
        <v>74</v>
      </c>
    </row>
    <row r="32" spans="1:10" ht="15.75" x14ac:dyDescent="0.25">
      <c r="A32" s="50">
        <f>'2.CARGOS-SALARIOS'!A31+1</f>
        <v>20</v>
      </c>
      <c r="B32" s="48" t="s">
        <v>106</v>
      </c>
      <c r="C32" s="48" t="s">
        <v>32</v>
      </c>
      <c r="D32" s="48" t="s">
        <v>109</v>
      </c>
      <c r="E32" s="48" t="s">
        <v>73</v>
      </c>
      <c r="F32" s="51">
        <v>1727644</v>
      </c>
      <c r="I32" s="48" t="s">
        <v>125</v>
      </c>
      <c r="J32" s="48" t="s">
        <v>74</v>
      </c>
    </row>
    <row r="33" spans="1:10" ht="15.75" x14ac:dyDescent="0.25">
      <c r="A33" s="50">
        <f>'2.CARGOS-SALARIOS'!A32+1</f>
        <v>21</v>
      </c>
      <c r="B33" s="48" t="s">
        <v>106</v>
      </c>
      <c r="C33" s="48" t="s">
        <v>32</v>
      </c>
      <c r="D33" s="48" t="s">
        <v>109</v>
      </c>
      <c r="E33" s="48" t="s">
        <v>74</v>
      </c>
      <c r="F33" s="51">
        <v>1463393</v>
      </c>
      <c r="I33" s="48" t="s">
        <v>126</v>
      </c>
      <c r="J33" s="48" t="s">
        <v>74</v>
      </c>
    </row>
    <row r="34" spans="1:10" ht="15.75" x14ac:dyDescent="0.25">
      <c r="A34" s="50">
        <f>'2.CARGOS-SALARIOS'!A33+1</f>
        <v>22</v>
      </c>
      <c r="B34" s="48" t="s">
        <v>106</v>
      </c>
      <c r="C34" s="48" t="s">
        <v>32</v>
      </c>
      <c r="D34" s="48" t="s">
        <v>109</v>
      </c>
      <c r="E34" s="48" t="s">
        <v>75</v>
      </c>
      <c r="F34" s="51">
        <v>729537</v>
      </c>
      <c r="I34" s="48" t="s">
        <v>127</v>
      </c>
      <c r="J34" s="48" t="s">
        <v>74</v>
      </c>
    </row>
    <row r="35" spans="1:10" ht="15.75" x14ac:dyDescent="0.25">
      <c r="A35" s="50">
        <f>'2.CARGOS-SALARIOS'!A34+1</f>
        <v>23</v>
      </c>
      <c r="B35" s="48" t="s">
        <v>106</v>
      </c>
      <c r="C35" s="48" t="s">
        <v>32</v>
      </c>
      <c r="D35" s="48" t="s">
        <v>109</v>
      </c>
      <c r="E35" s="48" t="s">
        <v>81</v>
      </c>
      <c r="F35" s="51">
        <v>512188</v>
      </c>
      <c r="I35" s="48" t="s">
        <v>128</v>
      </c>
      <c r="J35" s="48" t="s">
        <v>74</v>
      </c>
    </row>
    <row r="36" spans="1:10" ht="15.75" x14ac:dyDescent="0.25">
      <c r="A36" s="50">
        <f>'2.CARGOS-SALARIOS'!A35+1</f>
        <v>24</v>
      </c>
      <c r="B36" s="48" t="s">
        <v>106</v>
      </c>
      <c r="C36" s="48" t="s">
        <v>32</v>
      </c>
      <c r="D36" s="48" t="s">
        <v>109</v>
      </c>
      <c r="E36" s="48" t="s">
        <v>82</v>
      </c>
      <c r="F36" s="51">
        <v>439018</v>
      </c>
      <c r="I36" s="48" t="s">
        <v>129</v>
      </c>
      <c r="J36" s="48" t="s">
        <v>74</v>
      </c>
    </row>
    <row r="37" spans="1:10" ht="15.75" x14ac:dyDescent="0.25">
      <c r="A37" s="50">
        <f>'2.CARGOS-SALARIOS'!A36+1</f>
        <v>25</v>
      </c>
      <c r="B37" s="48" t="s">
        <v>106</v>
      </c>
      <c r="C37" s="48" t="s">
        <v>32</v>
      </c>
      <c r="D37" s="48" t="s">
        <v>109</v>
      </c>
      <c r="E37" s="48" t="s">
        <v>83</v>
      </c>
      <c r="F37" s="51">
        <v>365848</v>
      </c>
      <c r="I37" s="48" t="s">
        <v>96</v>
      </c>
      <c r="J37" s="48" t="s">
        <v>74</v>
      </c>
    </row>
    <row r="38" spans="1:10" ht="15.75" x14ac:dyDescent="0.25">
      <c r="A38" s="50">
        <f>'2.CARGOS-SALARIOS'!A37+1</f>
        <v>26</v>
      </c>
      <c r="B38" s="48" t="s">
        <v>106</v>
      </c>
      <c r="C38" s="48" t="s">
        <v>32</v>
      </c>
      <c r="D38" s="48" t="s">
        <v>109</v>
      </c>
      <c r="E38" s="48" t="s">
        <v>84</v>
      </c>
      <c r="F38" s="51">
        <v>292679</v>
      </c>
      <c r="I38" s="48">
        <v>4</v>
      </c>
      <c r="J38" s="48" t="s">
        <v>74</v>
      </c>
    </row>
    <row r="39" spans="1:10" ht="15.75" x14ac:dyDescent="0.25">
      <c r="A39" s="50">
        <f>'2.CARGOS-SALARIOS'!A38+1</f>
        <v>27</v>
      </c>
      <c r="B39" s="48" t="s">
        <v>106</v>
      </c>
      <c r="C39" s="48" t="s">
        <v>32</v>
      </c>
      <c r="D39" s="48" t="s">
        <v>109</v>
      </c>
      <c r="E39" s="48" t="s">
        <v>85</v>
      </c>
      <c r="F39" s="51">
        <v>219509</v>
      </c>
      <c r="I39" s="48">
        <v>5</v>
      </c>
      <c r="J39" s="48" t="s">
        <v>74</v>
      </c>
    </row>
    <row r="40" spans="1:10" ht="15.75" x14ac:dyDescent="0.25">
      <c r="A40" s="50">
        <f>'2.CARGOS-SALARIOS'!A39+1</f>
        <v>28</v>
      </c>
      <c r="B40" s="48" t="s">
        <v>106</v>
      </c>
      <c r="C40" s="48" t="s">
        <v>32</v>
      </c>
      <c r="D40" s="48" t="s">
        <v>109</v>
      </c>
      <c r="E40" s="48" t="s">
        <v>86</v>
      </c>
      <c r="F40" s="51">
        <v>146339</v>
      </c>
      <c r="I40" s="48">
        <v>6</v>
      </c>
      <c r="J40" s="48" t="s">
        <v>74</v>
      </c>
    </row>
    <row r="41" spans="1:10" ht="15.75" x14ac:dyDescent="0.25">
      <c r="A41" s="50">
        <f>'2.CARGOS-SALARIOS'!A40+1</f>
        <v>29</v>
      </c>
      <c r="B41" s="48" t="s">
        <v>106</v>
      </c>
      <c r="C41" s="48" t="s">
        <v>32</v>
      </c>
      <c r="D41" s="48" t="s">
        <v>110</v>
      </c>
      <c r="E41" s="48" t="s">
        <v>73</v>
      </c>
      <c r="F41" s="51">
        <v>1949882</v>
      </c>
      <c r="I41" s="48">
        <v>7</v>
      </c>
      <c r="J41" s="48" t="s">
        <v>74</v>
      </c>
    </row>
    <row r="42" spans="1:10" ht="15.75" x14ac:dyDescent="0.25">
      <c r="A42" s="50">
        <f>'2.CARGOS-SALARIOS'!A41+1</f>
        <v>30</v>
      </c>
      <c r="B42" s="48" t="s">
        <v>106</v>
      </c>
      <c r="C42" s="48" t="s">
        <v>32</v>
      </c>
      <c r="D42" s="48" t="s">
        <v>110</v>
      </c>
      <c r="E42" s="48" t="s">
        <v>74</v>
      </c>
      <c r="F42" s="51">
        <v>1652256</v>
      </c>
    </row>
    <row r="43" spans="1:10" ht="15.75" x14ac:dyDescent="0.25">
      <c r="A43" s="50">
        <f>'2.CARGOS-SALARIOS'!A42+1</f>
        <v>31</v>
      </c>
      <c r="B43" s="48" t="s">
        <v>106</v>
      </c>
      <c r="C43" s="48" t="s">
        <v>32</v>
      </c>
      <c r="D43" s="48" t="s">
        <v>110</v>
      </c>
      <c r="E43" s="48" t="s">
        <v>75</v>
      </c>
      <c r="F43" s="51">
        <v>826128</v>
      </c>
    </row>
    <row r="44" spans="1:10" ht="15.75" x14ac:dyDescent="0.25">
      <c r="A44" s="50">
        <f>'2.CARGOS-SALARIOS'!A43+1</f>
        <v>32</v>
      </c>
      <c r="B44" s="48" t="s">
        <v>106</v>
      </c>
      <c r="C44" s="48" t="s">
        <v>32</v>
      </c>
      <c r="D44" s="48" t="s">
        <v>110</v>
      </c>
      <c r="E44" s="48" t="s">
        <v>81</v>
      </c>
      <c r="F44" s="51">
        <v>578290</v>
      </c>
    </row>
    <row r="45" spans="1:10" ht="15.75" x14ac:dyDescent="0.25">
      <c r="A45" s="50">
        <f>'2.CARGOS-SALARIOS'!A44+1</f>
        <v>33</v>
      </c>
      <c r="B45" s="48" t="s">
        <v>106</v>
      </c>
      <c r="C45" s="48" t="s">
        <v>32</v>
      </c>
      <c r="D45" s="48" t="s">
        <v>110</v>
      </c>
      <c r="E45" s="48" t="s">
        <v>82</v>
      </c>
      <c r="F45" s="51">
        <v>495677</v>
      </c>
    </row>
    <row r="46" spans="1:10" ht="15.75" x14ac:dyDescent="0.25">
      <c r="A46" s="50">
        <f>'2.CARGOS-SALARIOS'!A45+1</f>
        <v>34</v>
      </c>
      <c r="B46" s="48" t="s">
        <v>106</v>
      </c>
      <c r="C46" s="48" t="s">
        <v>32</v>
      </c>
      <c r="D46" s="48" t="s">
        <v>110</v>
      </c>
      <c r="E46" s="48" t="s">
        <v>83</v>
      </c>
      <c r="F46" s="51">
        <v>413064</v>
      </c>
    </row>
    <row r="47" spans="1:10" ht="15.75" x14ac:dyDescent="0.25">
      <c r="A47" s="50">
        <f>'2.CARGOS-SALARIOS'!A46+1</f>
        <v>35</v>
      </c>
      <c r="B47" s="48" t="s">
        <v>106</v>
      </c>
      <c r="C47" s="48" t="s">
        <v>32</v>
      </c>
      <c r="D47" s="48" t="s">
        <v>110</v>
      </c>
      <c r="E47" s="48" t="s">
        <v>84</v>
      </c>
      <c r="F47" s="51">
        <v>330451</v>
      </c>
    </row>
    <row r="48" spans="1:10" ht="15.75" x14ac:dyDescent="0.25">
      <c r="A48" s="50">
        <f>'2.CARGOS-SALARIOS'!A47+1</f>
        <v>36</v>
      </c>
      <c r="B48" s="48" t="s">
        <v>106</v>
      </c>
      <c r="C48" s="48" t="s">
        <v>32</v>
      </c>
      <c r="D48" s="48" t="s">
        <v>110</v>
      </c>
      <c r="E48" s="48" t="s">
        <v>85</v>
      </c>
      <c r="F48" s="51">
        <v>247838</v>
      </c>
    </row>
    <row r="49" spans="1:6" ht="15.75" x14ac:dyDescent="0.25">
      <c r="A49" s="50">
        <f>'2.CARGOS-SALARIOS'!A48+1</f>
        <v>37</v>
      </c>
      <c r="B49" s="48" t="s">
        <v>106</v>
      </c>
      <c r="C49" s="48" t="s">
        <v>32</v>
      </c>
      <c r="D49" s="48" t="s">
        <v>110</v>
      </c>
      <c r="E49" s="48" t="s">
        <v>86</v>
      </c>
      <c r="F49" s="51">
        <v>165226</v>
      </c>
    </row>
    <row r="50" spans="1:6" ht="15.75" x14ac:dyDescent="0.25">
      <c r="A50" s="50">
        <f>'2.CARGOS-SALARIOS'!A49+1</f>
        <v>38</v>
      </c>
      <c r="B50" s="48" t="s">
        <v>106</v>
      </c>
      <c r="C50" s="48" t="s">
        <v>32</v>
      </c>
      <c r="D50" s="48" t="s">
        <v>111</v>
      </c>
      <c r="E50" s="48" t="s">
        <v>73</v>
      </c>
      <c r="F50" s="51">
        <v>2205888</v>
      </c>
    </row>
    <row r="51" spans="1:6" ht="15.75" x14ac:dyDescent="0.25">
      <c r="A51" s="50">
        <f>'2.CARGOS-SALARIOS'!A50+1</f>
        <v>39</v>
      </c>
      <c r="B51" s="48" t="s">
        <v>106</v>
      </c>
      <c r="C51" s="48" t="s">
        <v>32</v>
      </c>
      <c r="D51" s="48" t="s">
        <v>111</v>
      </c>
      <c r="E51" s="48" t="s">
        <v>74</v>
      </c>
      <c r="F51" s="51">
        <v>1866249</v>
      </c>
    </row>
    <row r="52" spans="1:6" ht="15.75" x14ac:dyDescent="0.25">
      <c r="A52" s="50">
        <f>'2.CARGOS-SALARIOS'!A51+1</f>
        <v>40</v>
      </c>
      <c r="B52" s="48" t="s">
        <v>106</v>
      </c>
      <c r="C52" s="48" t="s">
        <v>32</v>
      </c>
      <c r="D52" s="48" t="s">
        <v>111</v>
      </c>
      <c r="E52" s="48" t="s">
        <v>75</v>
      </c>
      <c r="F52" s="51">
        <v>935284</v>
      </c>
    </row>
    <row r="53" spans="1:6" ht="15.75" x14ac:dyDescent="0.25">
      <c r="A53" s="50">
        <f>'2.CARGOS-SALARIOS'!A52+1</f>
        <v>41</v>
      </c>
      <c r="B53" s="48" t="s">
        <v>106</v>
      </c>
      <c r="C53" s="48" t="s">
        <v>32</v>
      </c>
      <c r="D53" s="48" t="s">
        <v>111</v>
      </c>
      <c r="E53" s="48" t="s">
        <v>81</v>
      </c>
      <c r="F53" s="51">
        <v>653187</v>
      </c>
    </row>
    <row r="54" spans="1:6" ht="15.75" x14ac:dyDescent="0.25">
      <c r="A54" s="50">
        <f>'2.CARGOS-SALARIOS'!A53+1</f>
        <v>42</v>
      </c>
      <c r="B54" s="48" t="s">
        <v>106</v>
      </c>
      <c r="C54" s="48" t="s">
        <v>32</v>
      </c>
      <c r="D54" s="48" t="s">
        <v>111</v>
      </c>
      <c r="E54" s="48" t="s">
        <v>82</v>
      </c>
      <c r="F54" s="51">
        <v>559875</v>
      </c>
    </row>
    <row r="55" spans="1:6" ht="15.75" x14ac:dyDescent="0.25">
      <c r="A55" s="50">
        <f>'2.CARGOS-SALARIOS'!A54+1</f>
        <v>43</v>
      </c>
      <c r="B55" s="48" t="s">
        <v>106</v>
      </c>
      <c r="C55" s="48" t="s">
        <v>32</v>
      </c>
      <c r="D55" s="48" t="s">
        <v>111</v>
      </c>
      <c r="E55" s="48" t="s">
        <v>83</v>
      </c>
      <c r="F55" s="51">
        <v>466562</v>
      </c>
    </row>
    <row r="56" spans="1:6" ht="15.75" x14ac:dyDescent="0.25">
      <c r="A56" s="50">
        <f>'2.CARGOS-SALARIOS'!A55+1</f>
        <v>44</v>
      </c>
      <c r="B56" s="48" t="s">
        <v>106</v>
      </c>
      <c r="C56" s="48" t="s">
        <v>32</v>
      </c>
      <c r="D56" s="48" t="s">
        <v>111</v>
      </c>
      <c r="E56" s="48" t="s">
        <v>84</v>
      </c>
      <c r="F56" s="51">
        <v>373250</v>
      </c>
    </row>
    <row r="57" spans="1:6" ht="15.75" x14ac:dyDescent="0.25">
      <c r="A57" s="50">
        <f>'2.CARGOS-SALARIOS'!A56+1</f>
        <v>45</v>
      </c>
      <c r="B57" s="48" t="s">
        <v>106</v>
      </c>
      <c r="C57" s="48" t="s">
        <v>32</v>
      </c>
      <c r="D57" s="48" t="s">
        <v>111</v>
      </c>
      <c r="E57" s="48" t="s">
        <v>85</v>
      </c>
      <c r="F57" s="51">
        <v>279937</v>
      </c>
    </row>
    <row r="58" spans="1:6" ht="15.75" x14ac:dyDescent="0.25">
      <c r="A58" s="50">
        <f>'2.CARGOS-SALARIOS'!A57+1</f>
        <v>46</v>
      </c>
      <c r="B58" s="48" t="s">
        <v>106</v>
      </c>
      <c r="C58" s="48" t="s">
        <v>32</v>
      </c>
      <c r="D58" s="48" t="s">
        <v>111</v>
      </c>
      <c r="E58" s="48" t="s">
        <v>86</v>
      </c>
      <c r="F58" s="51">
        <v>186625</v>
      </c>
    </row>
    <row r="59" spans="1:6" ht="15.75" x14ac:dyDescent="0.25">
      <c r="A59" s="50">
        <f>'2.CARGOS-SALARIOS'!A58+1</f>
        <v>47</v>
      </c>
      <c r="B59" s="48" t="s">
        <v>106</v>
      </c>
      <c r="C59" s="48" t="s">
        <v>32</v>
      </c>
      <c r="D59" s="48" t="s">
        <v>112</v>
      </c>
      <c r="E59" s="48" t="s">
        <v>73</v>
      </c>
      <c r="F59" s="51">
        <v>985543</v>
      </c>
    </row>
    <row r="60" spans="1:6" ht="15.75" x14ac:dyDescent="0.25">
      <c r="A60" s="50">
        <f>'2.CARGOS-SALARIOS'!A59+1</f>
        <v>48</v>
      </c>
      <c r="B60" s="48" t="s">
        <v>106</v>
      </c>
      <c r="C60" s="48" t="s">
        <v>32</v>
      </c>
      <c r="D60" s="48" t="s">
        <v>112</v>
      </c>
      <c r="E60" s="48" t="s">
        <v>74</v>
      </c>
      <c r="F60" s="51">
        <v>834374</v>
      </c>
    </row>
    <row r="61" spans="1:6" ht="15.75" x14ac:dyDescent="0.25">
      <c r="A61" s="50">
        <f>'2.CARGOS-SALARIOS'!A60+1</f>
        <v>49</v>
      </c>
      <c r="B61" s="48" t="s">
        <v>106</v>
      </c>
      <c r="C61" s="48" t="s">
        <v>32</v>
      </c>
      <c r="D61" s="48" t="s">
        <v>112</v>
      </c>
      <c r="E61" s="48" t="s">
        <v>75</v>
      </c>
      <c r="F61" s="51">
        <v>419346</v>
      </c>
    </row>
    <row r="62" spans="1:6" ht="15.75" x14ac:dyDescent="0.25">
      <c r="A62" s="50">
        <f>'2.CARGOS-SALARIOS'!A61+1</f>
        <v>50</v>
      </c>
      <c r="B62" s="48" t="s">
        <v>106</v>
      </c>
      <c r="C62" s="48" t="s">
        <v>32</v>
      </c>
      <c r="D62" s="48" t="s">
        <v>112</v>
      </c>
      <c r="E62" s="48" t="s">
        <v>81</v>
      </c>
      <c r="F62" s="51">
        <v>292031</v>
      </c>
    </row>
    <row r="63" spans="1:6" ht="15.75" x14ac:dyDescent="0.25">
      <c r="A63" s="50">
        <f>'2.CARGOS-SALARIOS'!A62+1</f>
        <v>51</v>
      </c>
      <c r="B63" s="48" t="s">
        <v>106</v>
      </c>
      <c r="C63" s="48" t="s">
        <v>32</v>
      </c>
      <c r="D63" s="48" t="s">
        <v>112</v>
      </c>
      <c r="E63" s="48" t="s">
        <v>82</v>
      </c>
      <c r="F63" s="51">
        <v>250312</v>
      </c>
    </row>
    <row r="64" spans="1:6" ht="15.75" x14ac:dyDescent="0.25">
      <c r="A64" s="50">
        <f>'2.CARGOS-SALARIOS'!A63+1</f>
        <v>52</v>
      </c>
      <c r="B64" s="48" t="s">
        <v>106</v>
      </c>
      <c r="C64" s="48" t="s">
        <v>32</v>
      </c>
      <c r="D64" s="48" t="s">
        <v>112</v>
      </c>
      <c r="E64" s="48" t="s">
        <v>83</v>
      </c>
      <c r="F64" s="51">
        <v>208594</v>
      </c>
    </row>
    <row r="65" spans="1:6" ht="15.75" x14ac:dyDescent="0.25">
      <c r="A65" s="50">
        <f>'2.CARGOS-SALARIOS'!A64+1</f>
        <v>53</v>
      </c>
      <c r="B65" s="48" t="s">
        <v>106</v>
      </c>
      <c r="C65" s="48" t="s">
        <v>32</v>
      </c>
      <c r="D65" s="48" t="s">
        <v>112</v>
      </c>
      <c r="E65" s="48" t="s">
        <v>84</v>
      </c>
      <c r="F65" s="51">
        <v>166875</v>
      </c>
    </row>
    <row r="66" spans="1:6" ht="15.75" x14ac:dyDescent="0.25">
      <c r="A66" s="50">
        <f>'2.CARGOS-SALARIOS'!A65+1</f>
        <v>54</v>
      </c>
      <c r="B66" s="48" t="s">
        <v>106</v>
      </c>
      <c r="C66" s="48" t="s">
        <v>32</v>
      </c>
      <c r="D66" s="48" t="s">
        <v>112</v>
      </c>
      <c r="E66" s="48" t="s">
        <v>85</v>
      </c>
      <c r="F66" s="51">
        <v>125156</v>
      </c>
    </row>
    <row r="67" spans="1:6" ht="15.75" x14ac:dyDescent="0.25">
      <c r="A67" s="50">
        <f>'2.CARGOS-SALARIOS'!A66+1</f>
        <v>55</v>
      </c>
      <c r="B67" s="48" t="s">
        <v>106</v>
      </c>
      <c r="C67" s="48" t="s">
        <v>32</v>
      </c>
      <c r="D67" s="48" t="s">
        <v>112</v>
      </c>
      <c r="E67" s="48" t="s">
        <v>86</v>
      </c>
      <c r="F67" s="51">
        <v>83437</v>
      </c>
    </row>
    <row r="68" spans="1:6" ht="15.75" x14ac:dyDescent="0.25">
      <c r="A68" s="50">
        <f>'2.CARGOS-SALARIOS'!A67+1</f>
        <v>56</v>
      </c>
      <c r="B68" s="48" t="s">
        <v>106</v>
      </c>
      <c r="C68" s="48" t="s">
        <v>32</v>
      </c>
      <c r="D68" s="48" t="s">
        <v>113</v>
      </c>
      <c r="E68" s="48" t="s">
        <v>73</v>
      </c>
      <c r="F68" s="51">
        <v>1161448</v>
      </c>
    </row>
    <row r="69" spans="1:6" ht="15.75" x14ac:dyDescent="0.25">
      <c r="A69" s="50">
        <f>'2.CARGOS-SALARIOS'!A68+1</f>
        <v>57</v>
      </c>
      <c r="B69" s="48" t="s">
        <v>106</v>
      </c>
      <c r="C69" s="48" t="s">
        <v>32</v>
      </c>
      <c r="D69" s="48" t="s">
        <v>113</v>
      </c>
      <c r="E69" s="48" t="s">
        <v>74</v>
      </c>
      <c r="F69" s="51">
        <v>985543</v>
      </c>
    </row>
    <row r="70" spans="1:6" ht="15.75" x14ac:dyDescent="0.25">
      <c r="A70" s="50">
        <f>'2.CARGOS-SALARIOS'!A69+1</f>
        <v>58</v>
      </c>
      <c r="B70" s="48" t="s">
        <v>106</v>
      </c>
      <c r="C70" s="48" t="s">
        <v>32</v>
      </c>
      <c r="D70" s="48" t="s">
        <v>113</v>
      </c>
      <c r="E70" s="48" t="s">
        <v>75</v>
      </c>
      <c r="F70" s="51">
        <v>494735</v>
      </c>
    </row>
    <row r="71" spans="1:6" ht="15.75" x14ac:dyDescent="0.25">
      <c r="A71" s="50">
        <f>'2.CARGOS-SALARIOS'!A70+1</f>
        <v>59</v>
      </c>
      <c r="B71" s="48" t="s">
        <v>106</v>
      </c>
      <c r="C71" s="48" t="s">
        <v>32</v>
      </c>
      <c r="D71" s="48" t="s">
        <v>113</v>
      </c>
      <c r="E71" s="48" t="s">
        <v>81</v>
      </c>
      <c r="F71" s="51">
        <v>344940</v>
      </c>
    </row>
    <row r="72" spans="1:6" ht="15.75" x14ac:dyDescent="0.25">
      <c r="A72" s="50">
        <f>'2.CARGOS-SALARIOS'!A71+1</f>
        <v>60</v>
      </c>
      <c r="B72" s="48" t="s">
        <v>106</v>
      </c>
      <c r="C72" s="48" t="s">
        <v>32</v>
      </c>
      <c r="D72" s="48" t="s">
        <v>113</v>
      </c>
      <c r="E72" s="48" t="s">
        <v>82</v>
      </c>
      <c r="F72" s="51">
        <v>295663</v>
      </c>
    </row>
    <row r="73" spans="1:6" ht="15.75" x14ac:dyDescent="0.25">
      <c r="A73" s="50">
        <f>'2.CARGOS-SALARIOS'!A72+1</f>
        <v>61</v>
      </c>
      <c r="B73" s="48" t="s">
        <v>106</v>
      </c>
      <c r="C73" s="48" t="s">
        <v>32</v>
      </c>
      <c r="D73" s="48" t="s">
        <v>113</v>
      </c>
      <c r="E73" s="48" t="s">
        <v>83</v>
      </c>
      <c r="F73" s="51">
        <v>246386</v>
      </c>
    </row>
    <row r="74" spans="1:6" ht="15.75" x14ac:dyDescent="0.25">
      <c r="A74" s="50">
        <f>+A73+1</f>
        <v>62</v>
      </c>
      <c r="B74" s="48" t="s">
        <v>106</v>
      </c>
      <c r="C74" s="48" t="s">
        <v>32</v>
      </c>
      <c r="D74" s="48" t="s">
        <v>113</v>
      </c>
      <c r="E74" s="48" t="s">
        <v>84</v>
      </c>
      <c r="F74" s="51">
        <v>197109</v>
      </c>
    </row>
    <row r="75" spans="1:6" ht="15.75" x14ac:dyDescent="0.25">
      <c r="A75" s="50">
        <f>'2.CARGOS-SALARIOS'!A74+1</f>
        <v>63</v>
      </c>
      <c r="B75" s="48" t="s">
        <v>106</v>
      </c>
      <c r="C75" s="48" t="s">
        <v>32</v>
      </c>
      <c r="D75" s="48" t="s">
        <v>113</v>
      </c>
      <c r="E75" s="48" t="s">
        <v>85</v>
      </c>
      <c r="F75" s="51">
        <v>147831</v>
      </c>
    </row>
    <row r="76" spans="1:6" ht="15.75" x14ac:dyDescent="0.25">
      <c r="A76" s="50">
        <f>'2.CARGOS-SALARIOS'!A75+1</f>
        <v>64</v>
      </c>
      <c r="B76" s="48" t="s">
        <v>106</v>
      </c>
      <c r="C76" s="48" t="s">
        <v>32</v>
      </c>
      <c r="D76" s="48" t="s">
        <v>113</v>
      </c>
      <c r="E76" s="48" t="s">
        <v>86</v>
      </c>
      <c r="F76" s="51">
        <v>98554</v>
      </c>
    </row>
    <row r="77" spans="1:6" ht="15.75" x14ac:dyDescent="0.25">
      <c r="A77" s="50">
        <f>'2.CARGOS-SALARIOS'!A76+1</f>
        <v>65</v>
      </c>
      <c r="B77" s="48" t="s">
        <v>106</v>
      </c>
      <c r="C77" s="48" t="s">
        <v>32</v>
      </c>
      <c r="D77" s="48" t="s">
        <v>114</v>
      </c>
      <c r="E77" s="48" t="s">
        <v>73</v>
      </c>
      <c r="F77" s="51">
        <v>1350311</v>
      </c>
    </row>
    <row r="78" spans="1:6" ht="15.75" x14ac:dyDescent="0.25">
      <c r="A78" s="50">
        <f>'2.CARGOS-SALARIOS'!A77+1</f>
        <v>66</v>
      </c>
      <c r="B78" s="48" t="s">
        <v>106</v>
      </c>
      <c r="C78" s="48" t="s">
        <v>32</v>
      </c>
      <c r="D78" s="48" t="s">
        <v>114</v>
      </c>
      <c r="E78" s="48" t="s">
        <v>74</v>
      </c>
      <c r="F78" s="51">
        <v>1144957</v>
      </c>
    </row>
    <row r="79" spans="1:6" ht="15.75" x14ac:dyDescent="0.25">
      <c r="A79" s="50">
        <f>'2.CARGOS-SALARIOS'!A78+1</f>
        <v>67</v>
      </c>
      <c r="B79" s="48" t="s">
        <v>106</v>
      </c>
      <c r="C79" s="48" t="s">
        <v>32</v>
      </c>
      <c r="D79" s="48" t="s">
        <v>114</v>
      </c>
      <c r="E79" s="48" t="s">
        <v>75</v>
      </c>
      <c r="F79" s="51">
        <v>574442</v>
      </c>
    </row>
    <row r="80" spans="1:6" ht="15.75" x14ac:dyDescent="0.25">
      <c r="A80" s="50">
        <f>'2.CARGOS-SALARIOS'!A79+1</f>
        <v>68</v>
      </c>
      <c r="B80" s="48" t="s">
        <v>106</v>
      </c>
      <c r="C80" s="48" t="s">
        <v>32</v>
      </c>
      <c r="D80" s="48" t="s">
        <v>114</v>
      </c>
      <c r="E80" s="48" t="s">
        <v>81</v>
      </c>
      <c r="F80" s="51">
        <v>400735</v>
      </c>
    </row>
    <row r="81" spans="1:6" ht="15.75" x14ac:dyDescent="0.25">
      <c r="A81" s="50">
        <f>'2.CARGOS-SALARIOS'!A80+1</f>
        <v>69</v>
      </c>
      <c r="B81" s="48" t="s">
        <v>106</v>
      </c>
      <c r="C81" s="48" t="s">
        <v>32</v>
      </c>
      <c r="D81" s="48" t="s">
        <v>114</v>
      </c>
      <c r="E81" s="48" t="s">
        <v>82</v>
      </c>
      <c r="F81" s="51">
        <v>343487</v>
      </c>
    </row>
    <row r="82" spans="1:6" ht="15.75" x14ac:dyDescent="0.25">
      <c r="A82" s="50">
        <f>'2.CARGOS-SALARIOS'!A81+1</f>
        <v>70</v>
      </c>
      <c r="B82" s="48" t="s">
        <v>106</v>
      </c>
      <c r="C82" s="48" t="s">
        <v>32</v>
      </c>
      <c r="D82" s="48" t="s">
        <v>114</v>
      </c>
      <c r="E82" s="48" t="s">
        <v>83</v>
      </c>
      <c r="F82" s="51">
        <v>286239</v>
      </c>
    </row>
    <row r="83" spans="1:6" ht="15.75" x14ac:dyDescent="0.25">
      <c r="A83" s="50">
        <f>'2.CARGOS-SALARIOS'!A82+1</f>
        <v>71</v>
      </c>
      <c r="B83" s="48" t="s">
        <v>106</v>
      </c>
      <c r="C83" s="48" t="s">
        <v>32</v>
      </c>
      <c r="D83" s="48" t="s">
        <v>114</v>
      </c>
      <c r="E83" s="48" t="s">
        <v>84</v>
      </c>
      <c r="F83" s="51">
        <v>228991</v>
      </c>
    </row>
    <row r="84" spans="1:6" ht="15.75" x14ac:dyDescent="0.25">
      <c r="A84" s="50">
        <f>'2.CARGOS-SALARIOS'!A83+1</f>
        <v>72</v>
      </c>
      <c r="B84" s="48" t="s">
        <v>106</v>
      </c>
      <c r="C84" s="48" t="s">
        <v>32</v>
      </c>
      <c r="D84" s="48" t="s">
        <v>114</v>
      </c>
      <c r="E84" s="48" t="s">
        <v>85</v>
      </c>
      <c r="F84" s="51">
        <v>171744</v>
      </c>
    </row>
    <row r="85" spans="1:6" ht="15.75" x14ac:dyDescent="0.25">
      <c r="A85" s="50">
        <f>'2.CARGOS-SALARIOS'!A84+1</f>
        <v>73</v>
      </c>
      <c r="B85" s="48" t="s">
        <v>106</v>
      </c>
      <c r="C85" s="48" t="s">
        <v>32</v>
      </c>
      <c r="D85" s="48" t="s">
        <v>114</v>
      </c>
      <c r="E85" s="48" t="s">
        <v>86</v>
      </c>
      <c r="F85" s="51">
        <v>114496</v>
      </c>
    </row>
    <row r="86" spans="1:6" ht="15.75" x14ac:dyDescent="0.25">
      <c r="A86" s="50">
        <f>'2.CARGOS-SALARIOS'!A85+1</f>
        <v>74</v>
      </c>
      <c r="B86" s="48" t="s">
        <v>106</v>
      </c>
      <c r="C86" s="48" t="s">
        <v>36</v>
      </c>
      <c r="D86" s="48" t="s">
        <v>115</v>
      </c>
      <c r="E86" s="48" t="s">
        <v>74</v>
      </c>
      <c r="F86" s="51">
        <v>721292</v>
      </c>
    </row>
    <row r="87" spans="1:6" ht="15.75" x14ac:dyDescent="0.25">
      <c r="A87" s="50">
        <f>'2.CARGOS-SALARIOS'!A86+1</f>
        <v>75</v>
      </c>
      <c r="B87" s="48" t="s">
        <v>106</v>
      </c>
      <c r="C87" s="48" t="s">
        <v>36</v>
      </c>
      <c r="D87" s="48" t="s">
        <v>116</v>
      </c>
      <c r="E87" s="48" t="s">
        <v>74</v>
      </c>
      <c r="F87" s="51">
        <v>754666</v>
      </c>
    </row>
    <row r="88" spans="1:6" ht="15.75" x14ac:dyDescent="0.25">
      <c r="A88" s="50">
        <f>'2.CARGOS-SALARIOS'!A87+1</f>
        <v>76</v>
      </c>
      <c r="B88" s="48" t="s">
        <v>106</v>
      </c>
      <c r="C88" s="48" t="s">
        <v>36</v>
      </c>
      <c r="D88" s="48" t="s">
        <v>117</v>
      </c>
      <c r="E88" s="48" t="s">
        <v>74</v>
      </c>
      <c r="F88" s="51">
        <v>792753</v>
      </c>
    </row>
    <row r="89" spans="1:6" ht="15.75" x14ac:dyDescent="0.25">
      <c r="A89" s="50">
        <f>'2.CARGOS-SALARIOS'!A88+1</f>
        <v>77</v>
      </c>
      <c r="B89" s="48" t="s">
        <v>106</v>
      </c>
      <c r="C89" s="48" t="s">
        <v>36</v>
      </c>
      <c r="D89" s="48" t="s">
        <v>118</v>
      </c>
      <c r="E89" s="48" t="s">
        <v>74</v>
      </c>
      <c r="F89" s="51">
        <v>834374</v>
      </c>
    </row>
    <row r="90" spans="1:6" ht="15.75" x14ac:dyDescent="0.25">
      <c r="A90" s="50">
        <f>'2.CARGOS-SALARIOS'!A89+1</f>
        <v>78</v>
      </c>
      <c r="B90" s="48" t="s">
        <v>106</v>
      </c>
      <c r="C90" s="48" t="s">
        <v>36</v>
      </c>
      <c r="D90" s="48" t="s">
        <v>119</v>
      </c>
      <c r="E90" s="48" t="s">
        <v>74</v>
      </c>
      <c r="F90" s="51">
        <v>885025</v>
      </c>
    </row>
    <row r="91" spans="1:6" ht="15.75" x14ac:dyDescent="0.25">
      <c r="A91" s="50">
        <f>'2.CARGOS-SALARIOS'!A90+1</f>
        <v>79</v>
      </c>
      <c r="B91" s="48" t="s">
        <v>106</v>
      </c>
      <c r="C91" s="48" t="s">
        <v>36</v>
      </c>
      <c r="D91" s="48" t="s">
        <v>120</v>
      </c>
      <c r="E91" s="48" t="s">
        <v>74</v>
      </c>
      <c r="F91" s="51">
        <v>910154</v>
      </c>
    </row>
    <row r="92" spans="1:6" ht="15.75" x14ac:dyDescent="0.25">
      <c r="A92" s="50">
        <f>'2.CARGOS-SALARIOS'!A91+1</f>
        <v>80</v>
      </c>
      <c r="B92" s="48" t="s">
        <v>106</v>
      </c>
      <c r="C92" s="48" t="s">
        <v>36</v>
      </c>
      <c r="D92" s="48" t="s">
        <v>121</v>
      </c>
      <c r="E92" s="48" t="s">
        <v>74</v>
      </c>
      <c r="F92" s="51">
        <v>943529</v>
      </c>
    </row>
    <row r="93" spans="1:6" ht="15.75" x14ac:dyDescent="0.25">
      <c r="A93" s="50">
        <f>'2.CARGOS-SALARIOS'!A92+1</f>
        <v>81</v>
      </c>
      <c r="B93" s="48" t="s">
        <v>106</v>
      </c>
      <c r="C93" s="48" t="s">
        <v>36</v>
      </c>
      <c r="D93" s="48" t="s">
        <v>122</v>
      </c>
      <c r="E93" s="48" t="s">
        <v>74</v>
      </c>
      <c r="F93" s="51">
        <v>985543</v>
      </c>
    </row>
    <row r="94" spans="1:6" ht="15.75" x14ac:dyDescent="0.25">
      <c r="A94" s="50">
        <f>'2.CARGOS-SALARIOS'!A93+1</f>
        <v>82</v>
      </c>
      <c r="B94" s="48" t="s">
        <v>106</v>
      </c>
      <c r="C94" s="48" t="s">
        <v>36</v>
      </c>
      <c r="D94" s="48" t="s">
        <v>123</v>
      </c>
      <c r="E94" s="48" t="s">
        <v>74</v>
      </c>
      <c r="F94" s="51">
        <v>1023237</v>
      </c>
    </row>
    <row r="95" spans="1:6" ht="15.75" x14ac:dyDescent="0.25">
      <c r="A95" s="50">
        <f>'2.CARGOS-SALARIOS'!A94+1</f>
        <v>83</v>
      </c>
      <c r="B95" s="48" t="s">
        <v>106</v>
      </c>
      <c r="C95" s="48" t="s">
        <v>36</v>
      </c>
      <c r="D95" s="48" t="s">
        <v>124</v>
      </c>
      <c r="E95" s="48" t="s">
        <v>74</v>
      </c>
      <c r="F95" s="51">
        <v>1065250</v>
      </c>
    </row>
    <row r="96" spans="1:6" ht="15.75" x14ac:dyDescent="0.25">
      <c r="A96" s="50">
        <f>'2.CARGOS-SALARIOS'!A95+1</f>
        <v>84</v>
      </c>
      <c r="B96" s="48" t="s">
        <v>106</v>
      </c>
      <c r="C96" s="48" t="s">
        <v>36</v>
      </c>
      <c r="D96" s="48" t="s">
        <v>125</v>
      </c>
      <c r="E96" s="48" t="s">
        <v>74</v>
      </c>
      <c r="F96" s="51">
        <v>1090379</v>
      </c>
    </row>
    <row r="97" spans="1:6" ht="15.75" x14ac:dyDescent="0.25">
      <c r="A97" s="50">
        <f>'2.CARGOS-SALARIOS'!A96+1</f>
        <v>85</v>
      </c>
      <c r="B97" s="48" t="s">
        <v>106</v>
      </c>
      <c r="C97" s="48" t="s">
        <v>36</v>
      </c>
      <c r="D97" s="48" t="s">
        <v>126</v>
      </c>
      <c r="E97" s="48" t="s">
        <v>74</v>
      </c>
      <c r="F97" s="51">
        <v>1144957</v>
      </c>
    </row>
    <row r="98" spans="1:6" ht="15.75" x14ac:dyDescent="0.25">
      <c r="A98" s="50">
        <f>'2.CARGOS-SALARIOS'!A97+1</f>
        <v>86</v>
      </c>
      <c r="B98" s="48" t="s">
        <v>106</v>
      </c>
      <c r="C98" s="48" t="s">
        <v>36</v>
      </c>
      <c r="D98" s="48" t="s">
        <v>127</v>
      </c>
      <c r="E98" s="48" t="s">
        <v>74</v>
      </c>
      <c r="F98" s="51">
        <v>1224664</v>
      </c>
    </row>
    <row r="99" spans="1:6" ht="15.75" x14ac:dyDescent="0.25">
      <c r="A99" s="50">
        <f>'2.CARGOS-SALARIOS'!A98+1</f>
        <v>87</v>
      </c>
      <c r="B99" s="48" t="s">
        <v>106</v>
      </c>
      <c r="C99" s="48" t="s">
        <v>36</v>
      </c>
      <c r="D99" s="48" t="s">
        <v>128</v>
      </c>
      <c r="E99" s="48" t="s">
        <v>74</v>
      </c>
      <c r="F99" s="51">
        <v>1312617</v>
      </c>
    </row>
    <row r="100" spans="1:6" ht="15.75" x14ac:dyDescent="0.25">
      <c r="A100" s="50">
        <f>'2.CARGOS-SALARIOS'!A99+1</f>
        <v>88</v>
      </c>
      <c r="B100" s="48" t="s">
        <v>106</v>
      </c>
      <c r="C100" s="48" t="s">
        <v>36</v>
      </c>
      <c r="D100" s="48" t="s">
        <v>129</v>
      </c>
      <c r="E100" s="48" t="s">
        <v>74</v>
      </c>
      <c r="F100" s="51">
        <v>1404889</v>
      </c>
    </row>
    <row r="101" spans="1:6" ht="15.75" x14ac:dyDescent="0.25">
      <c r="A101" s="50">
        <f>'2.CARGOS-SALARIOS'!A100+1</f>
        <v>89</v>
      </c>
      <c r="B101" s="48" t="s">
        <v>39</v>
      </c>
      <c r="C101" s="48" t="s">
        <v>39</v>
      </c>
      <c r="D101" s="48" t="s">
        <v>96</v>
      </c>
      <c r="E101" s="48" t="s">
        <v>74</v>
      </c>
      <c r="F101" s="51">
        <v>674174</v>
      </c>
    </row>
    <row r="102" spans="1:6" ht="15.75" x14ac:dyDescent="0.25">
      <c r="A102" s="50">
        <f>'2.CARGOS-SALARIOS'!A101+1</f>
        <v>90</v>
      </c>
      <c r="B102" s="48" t="s">
        <v>39</v>
      </c>
      <c r="C102" s="48" t="s">
        <v>39</v>
      </c>
      <c r="D102" s="48">
        <v>4</v>
      </c>
      <c r="E102" s="48" t="s">
        <v>74</v>
      </c>
      <c r="F102" s="51">
        <v>721292</v>
      </c>
    </row>
    <row r="103" spans="1:6" ht="15.75" x14ac:dyDescent="0.25">
      <c r="A103" s="50">
        <f>'2.CARGOS-SALARIOS'!A102+1</f>
        <v>91</v>
      </c>
      <c r="B103" s="48" t="s">
        <v>39</v>
      </c>
      <c r="C103" s="48" t="s">
        <v>39</v>
      </c>
      <c r="D103" s="48">
        <v>5</v>
      </c>
      <c r="E103" s="48" t="s">
        <v>74</v>
      </c>
      <c r="F103" s="51">
        <v>771943</v>
      </c>
    </row>
    <row r="104" spans="1:6" ht="15.75" x14ac:dyDescent="0.25">
      <c r="A104" s="50">
        <f>'2.CARGOS-SALARIOS'!A103+1</f>
        <v>92</v>
      </c>
      <c r="B104" s="48" t="s">
        <v>39</v>
      </c>
      <c r="C104" s="48" t="s">
        <v>39</v>
      </c>
      <c r="D104" s="48">
        <v>6</v>
      </c>
      <c r="E104" s="48" t="s">
        <v>74</v>
      </c>
      <c r="F104" s="51">
        <v>826128</v>
      </c>
    </row>
    <row r="105" spans="1:6" ht="15.75" x14ac:dyDescent="0.25">
      <c r="A105" s="50">
        <f>'2.CARGOS-SALARIOS'!A104+1</f>
        <v>93</v>
      </c>
      <c r="B105" s="48" t="s">
        <v>39</v>
      </c>
      <c r="C105" s="48" t="s">
        <v>39</v>
      </c>
      <c r="D105" s="48">
        <v>7</v>
      </c>
      <c r="E105" s="48" t="s">
        <v>74</v>
      </c>
      <c r="F105" s="51">
        <v>883847</v>
      </c>
    </row>
    <row r="106" spans="1:6" ht="15.75" x14ac:dyDescent="0.25">
      <c r="A106" s="50"/>
      <c r="B106" s="48"/>
      <c r="C106" s="48"/>
      <c r="D106" s="48"/>
      <c r="E106" s="48"/>
      <c r="F106" s="51"/>
    </row>
    <row r="107" spans="1:6" ht="15.75" x14ac:dyDescent="0.25">
      <c r="A107" s="50"/>
      <c r="B107" s="48"/>
      <c r="C107" s="48"/>
      <c r="D107" s="48"/>
      <c r="E107" s="48"/>
      <c r="F107" s="51"/>
    </row>
    <row r="108" spans="1:6" ht="15.75" x14ac:dyDescent="0.25">
      <c r="A108" s="50"/>
      <c r="B108" s="48"/>
      <c r="C108" s="48"/>
      <c r="D108" s="48"/>
      <c r="E108" s="48"/>
      <c r="F108" s="51"/>
    </row>
    <row r="109" spans="1:6" ht="15.75" x14ac:dyDescent="0.25">
      <c r="A109" s="50"/>
      <c r="B109" s="48"/>
      <c r="C109" s="48"/>
      <c r="D109" s="48"/>
      <c r="E109" s="48"/>
      <c r="F109" s="51"/>
    </row>
    <row r="110" spans="1:6" ht="15.75" x14ac:dyDescent="0.25">
      <c r="A110" s="50"/>
      <c r="B110" s="48"/>
      <c r="C110" s="48"/>
      <c r="D110" s="48"/>
      <c r="E110" s="48"/>
      <c r="F110" s="51"/>
    </row>
    <row r="111" spans="1:6" ht="15.75" x14ac:dyDescent="0.25">
      <c r="A111" s="50"/>
      <c r="B111" s="48"/>
      <c r="C111" s="48"/>
      <c r="D111" s="48"/>
      <c r="E111" s="48"/>
      <c r="F111" s="51"/>
    </row>
    <row r="112" spans="1:6" ht="15.75" x14ac:dyDescent="0.25">
      <c r="A112" s="50"/>
      <c r="B112" s="48"/>
      <c r="C112" s="48"/>
      <c r="D112" s="48"/>
      <c r="E112" s="48"/>
      <c r="F112" s="48"/>
    </row>
    <row r="113" spans="1:85" ht="15.75" x14ac:dyDescent="0.25">
      <c r="A113" s="50"/>
      <c r="B113" s="48"/>
      <c r="C113" s="48"/>
      <c r="D113" s="48"/>
      <c r="E113" s="48"/>
      <c r="F113" s="48"/>
    </row>
    <row r="114" spans="1:85" ht="15.75" x14ac:dyDescent="0.25">
      <c r="A114" s="50"/>
      <c r="B114" s="48"/>
      <c r="C114" s="48"/>
      <c r="D114" s="48"/>
      <c r="E114" s="48"/>
      <c r="F114" s="48"/>
    </row>
    <row r="115" spans="1:85" ht="14.1" customHeight="1" x14ac:dyDescent="0.25">
      <c r="A115" s="7" t="s">
        <v>130</v>
      </c>
      <c r="B115" s="7"/>
      <c r="C115" s="7"/>
      <c r="D115" s="7"/>
      <c r="E115" s="7"/>
      <c r="F115" s="7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</row>
    <row r="117" spans="1:85" x14ac:dyDescent="0.2">
      <c r="A117" s="8"/>
      <c r="B117" s="8"/>
      <c r="C117" s="8"/>
      <c r="D117" s="8"/>
      <c r="E117" s="8"/>
      <c r="F117" s="8"/>
    </row>
    <row r="118" spans="1:85" x14ac:dyDescent="0.2">
      <c r="A118" s="6"/>
      <c r="B118" s="6"/>
      <c r="C118" s="6"/>
      <c r="D118" s="6"/>
      <c r="E118" s="6"/>
      <c r="F118" s="6"/>
    </row>
    <row r="119" spans="1:85" x14ac:dyDescent="0.2">
      <c r="A119" s="6"/>
      <c r="B119" s="6"/>
      <c r="C119" s="6"/>
      <c r="D119" s="6"/>
      <c r="E119" s="6"/>
      <c r="F119" s="6"/>
    </row>
  </sheetData>
  <mergeCells count="5">
    <mergeCell ref="C3:D3"/>
    <mergeCell ref="C4:D4"/>
    <mergeCell ref="A7:F9"/>
    <mergeCell ref="A115:F115"/>
    <mergeCell ref="A117:F11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AMJ13"/>
  <sheetViews>
    <sheetView showGridLines="0" topLeftCell="AH1" zoomScale="60" zoomScaleNormal="60" workbookViewId="0">
      <selection activeCell="AP6" sqref="AP6"/>
    </sheetView>
  </sheetViews>
  <sheetFormatPr baseColWidth="10" defaultColWidth="9.140625" defaultRowHeight="12.75" x14ac:dyDescent="0.2"/>
  <cols>
    <col min="1" max="1" width="7.85546875" style="53" customWidth="1"/>
    <col min="2" max="2" width="19.5703125" style="53" customWidth="1"/>
    <col min="3" max="3" width="20.5703125" style="53" customWidth="1"/>
    <col min="4" max="4" width="22.42578125" style="53" customWidth="1"/>
    <col min="5" max="5" width="13" style="53" customWidth="1"/>
    <col min="6" max="6" width="15.42578125" style="54" customWidth="1"/>
    <col min="7" max="7" width="21.42578125" style="54" customWidth="1"/>
    <col min="8" max="8" width="23.140625" style="54" customWidth="1"/>
    <col min="9" max="9" width="24.7109375" style="54" customWidth="1"/>
    <col min="10" max="11" width="18.140625" style="54" customWidth="1"/>
    <col min="12" max="12" width="15.85546875" style="54" customWidth="1"/>
    <col min="13" max="13" width="13.140625" style="54" customWidth="1"/>
    <col min="14" max="14" width="12.7109375" style="54" customWidth="1"/>
    <col min="15" max="23" width="15.28515625" style="54" customWidth="1"/>
    <col min="24" max="24" width="19.5703125" style="54" customWidth="1"/>
    <col min="25" max="25" width="15.5703125" style="55" customWidth="1"/>
    <col min="26" max="32" width="16.5703125" style="55" customWidth="1"/>
    <col min="33" max="33" width="22.5703125" style="55" customWidth="1"/>
    <col min="34" max="34" width="16.7109375" style="55" customWidth="1"/>
    <col min="35" max="36" width="23.85546875" style="55" customWidth="1"/>
    <col min="37" max="38" width="17.85546875" style="55" customWidth="1"/>
    <col min="39" max="39" width="19.5703125" style="55" customWidth="1"/>
    <col min="40" max="40" width="20.7109375" style="55" customWidth="1"/>
    <col min="41" max="41" width="19.140625" style="55" customWidth="1"/>
    <col min="42" max="43" width="21.42578125" style="55" customWidth="1"/>
    <col min="44" max="44" width="22.42578125" style="55" customWidth="1"/>
    <col min="45" max="45" width="21.42578125" style="55" customWidth="1"/>
    <col min="46" max="51" width="12.42578125" style="54" customWidth="1"/>
    <col min="52" max="52" width="20" style="54" customWidth="1"/>
    <col min="53" max="53" width="17.140625" style="54" customWidth="1"/>
    <col min="54" max="54" width="16.28515625" style="54" customWidth="1"/>
    <col min="55" max="55" width="17.85546875" style="54" customWidth="1"/>
    <col min="56" max="56" width="15.7109375" style="54" customWidth="1"/>
    <col min="57" max="57" width="15.5703125" style="54" customWidth="1"/>
    <col min="58" max="58" width="16.5703125" style="54" customWidth="1"/>
    <col min="59" max="59" width="12.42578125" style="54" customWidth="1"/>
    <col min="60" max="60" width="15.42578125" style="54" customWidth="1"/>
    <col min="61" max="61" width="18.42578125" style="54" customWidth="1"/>
    <col min="62" max="62" width="19.5703125" style="54" customWidth="1"/>
    <col min="63" max="63" width="12.42578125" style="54" customWidth="1"/>
    <col min="64" max="64" width="19.140625" style="54" customWidth="1"/>
    <col min="65" max="65" width="16.42578125" style="54" customWidth="1"/>
    <col min="66" max="66" width="17.85546875" style="54" customWidth="1"/>
    <col min="67" max="67" width="17.7109375" style="54" customWidth="1"/>
    <col min="68" max="68" width="15.85546875" style="54" customWidth="1"/>
    <col min="69" max="69" width="13.42578125" style="54" customWidth="1"/>
    <col min="70" max="70" width="10.5703125" style="54" customWidth="1"/>
    <col min="71" max="997" width="9.5703125" style="54" customWidth="1"/>
    <col min="998" max="1025" width="8.5703125" customWidth="1"/>
  </cols>
  <sheetData>
    <row r="1" spans="1:1024" ht="42.95" customHeight="1" x14ac:dyDescent="0.2">
      <c r="A1" s="5" t="s">
        <v>131</v>
      </c>
      <c r="B1" s="5"/>
      <c r="C1" s="5"/>
      <c r="D1" s="5"/>
      <c r="E1" s="5"/>
      <c r="F1" s="5"/>
      <c r="G1" s="4" t="s">
        <v>51</v>
      </c>
      <c r="H1" s="3">
        <f>+'1.DATOS'!F4</f>
        <v>43373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 s="2" t="s">
        <v>132</v>
      </c>
      <c r="AC1" s="2"/>
      <c r="AD1" s="57" t="s">
        <v>133</v>
      </c>
      <c r="AE1" s="57" t="s">
        <v>133</v>
      </c>
      <c r="AF1" s="57" t="s">
        <v>133</v>
      </c>
      <c r="AG1" s="1" t="s">
        <v>134</v>
      </c>
      <c r="AH1" s="1"/>
      <c r="AI1" s="57" t="s">
        <v>133</v>
      </c>
      <c r="AJ1" s="1" t="s">
        <v>134</v>
      </c>
      <c r="AK1" s="1"/>
      <c r="AL1" s="1"/>
      <c r="AM1" s="58"/>
      <c r="AN1" s="209"/>
      <c r="AO1" s="1" t="s">
        <v>134</v>
      </c>
      <c r="AP1" s="1"/>
      <c r="AQ1" s="1"/>
      <c r="AR1" s="57" t="s">
        <v>135</v>
      </c>
      <c r="AS1" s="57" t="s">
        <v>135</v>
      </c>
      <c r="AT1" s="1" t="s">
        <v>134</v>
      </c>
      <c r="AU1" s="1"/>
      <c r="AV1" s="1"/>
      <c r="AW1" s="1"/>
      <c r="AX1" s="1"/>
      <c r="AY1" s="1"/>
      <c r="AZ1"/>
      <c r="BA1" s="57" t="s">
        <v>133</v>
      </c>
      <c r="BB1" s="57" t="s">
        <v>133</v>
      </c>
      <c r="BC1" s="57" t="s">
        <v>133</v>
      </c>
      <c r="BD1" s="57" t="s">
        <v>133</v>
      </c>
      <c r="BE1" s="57" t="s">
        <v>133</v>
      </c>
      <c r="BF1" s="57" t="s">
        <v>136</v>
      </c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</row>
    <row r="2" spans="1:1024" ht="33" customHeight="1" x14ac:dyDescent="0.2">
      <c r="A2" s="5"/>
      <c r="B2" s="5"/>
      <c r="C2" s="5"/>
      <c r="D2" s="5"/>
      <c r="E2" s="5"/>
      <c r="F2" s="5"/>
      <c r="G2" s="4"/>
      <c r="H2" s="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 s="210" t="s">
        <v>137</v>
      </c>
      <c r="AC2" s="210"/>
      <c r="AD2" s="60">
        <v>200</v>
      </c>
      <c r="AE2" s="60">
        <v>300</v>
      </c>
      <c r="AF2" s="60">
        <v>50</v>
      </c>
      <c r="AG2" s="1"/>
      <c r="AH2" s="1"/>
      <c r="AI2" s="60">
        <v>50</v>
      </c>
      <c r="AJ2" s="1"/>
      <c r="AK2" s="1"/>
      <c r="AL2" s="1"/>
      <c r="AM2" s="58"/>
      <c r="AN2" s="209"/>
      <c r="AO2" s="1"/>
      <c r="AP2" s="1"/>
      <c r="AQ2" s="1"/>
      <c r="AR2" s="60">
        <v>105</v>
      </c>
      <c r="AS2" s="60">
        <v>120</v>
      </c>
      <c r="AT2" s="1"/>
      <c r="AU2" s="1"/>
      <c r="AV2" s="1"/>
      <c r="AW2" s="1"/>
      <c r="AX2" s="1"/>
      <c r="AY2" s="1"/>
      <c r="AZ2"/>
      <c r="BA2" s="60">
        <v>50</v>
      </c>
      <c r="BB2" s="60">
        <v>200</v>
      </c>
      <c r="BC2" s="60">
        <v>100</v>
      </c>
      <c r="BD2" s="60">
        <v>300</v>
      </c>
      <c r="BE2" s="60">
        <v>100</v>
      </c>
      <c r="BF2" s="61">
        <v>0.4</v>
      </c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</row>
    <row r="3" spans="1:1024" ht="33" customHeight="1" x14ac:dyDescent="0.2">
      <c r="A3" s="5"/>
      <c r="B3" s="5"/>
      <c r="C3" s="5"/>
      <c r="D3" s="5"/>
      <c r="E3" s="5"/>
      <c r="F3" s="5"/>
      <c r="G3" s="4"/>
      <c r="H3" s="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 s="211" t="s">
        <v>138</v>
      </c>
      <c r="AC3" s="211"/>
      <c r="AD3" s="62" t="s">
        <v>139</v>
      </c>
      <c r="AE3" s="62" t="s">
        <v>140</v>
      </c>
      <c r="AF3" s="62" t="s">
        <v>141</v>
      </c>
      <c r="AG3" s="62" t="s">
        <v>142</v>
      </c>
      <c r="AH3" s="62" t="s">
        <v>143</v>
      </c>
      <c r="AI3" s="62" t="s">
        <v>144</v>
      </c>
      <c r="AJ3" s="62" t="s">
        <v>145</v>
      </c>
      <c r="AK3" s="62" t="s">
        <v>146</v>
      </c>
      <c r="AL3" s="62" t="s">
        <v>147</v>
      </c>
      <c r="AM3" s="63"/>
      <c r="AN3" s="209"/>
      <c r="AO3" s="62" t="s">
        <v>148</v>
      </c>
      <c r="AP3" s="62"/>
      <c r="AQ3" s="62" t="s">
        <v>148</v>
      </c>
      <c r="AR3" s="62" t="s">
        <v>149</v>
      </c>
      <c r="AS3" s="62" t="s">
        <v>150</v>
      </c>
      <c r="AT3" s="62" t="s">
        <v>148</v>
      </c>
      <c r="AU3" s="62" t="s">
        <v>148</v>
      </c>
      <c r="AV3" s="62" t="s">
        <v>148</v>
      </c>
      <c r="AW3" s="62" t="s">
        <v>148</v>
      </c>
      <c r="AX3" s="62" t="s">
        <v>148</v>
      </c>
      <c r="AY3" s="62" t="s">
        <v>148</v>
      </c>
      <c r="AZ3"/>
      <c r="BA3" s="62" t="s">
        <v>151</v>
      </c>
      <c r="BB3" s="62" t="s">
        <v>152</v>
      </c>
      <c r="BC3" s="62" t="s">
        <v>153</v>
      </c>
      <c r="BD3" s="62" t="s">
        <v>154</v>
      </c>
      <c r="BE3" s="62" t="s">
        <v>155</v>
      </c>
      <c r="BF3" s="62" t="s">
        <v>148</v>
      </c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</row>
    <row r="4" spans="1:1024" ht="49.5" customHeight="1" x14ac:dyDescent="0.25">
      <c r="A4" s="212" t="s">
        <v>156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 t="s">
        <v>157</v>
      </c>
      <c r="M4" s="213"/>
      <c r="N4" s="213"/>
      <c r="O4" s="213"/>
      <c r="P4" s="213"/>
      <c r="Q4" s="212" t="s">
        <v>158</v>
      </c>
      <c r="R4" s="212"/>
      <c r="S4" s="212"/>
      <c r="T4" s="212"/>
      <c r="U4" s="212"/>
      <c r="V4" s="212"/>
      <c r="W4" s="212"/>
      <c r="X4" s="212"/>
      <c r="Y4" s="209" t="s">
        <v>102</v>
      </c>
      <c r="Z4" s="209"/>
      <c r="AA4" s="209"/>
      <c r="AB4" s="209"/>
      <c r="AC4" s="209"/>
      <c r="AD4" s="214" t="s">
        <v>159</v>
      </c>
      <c r="AE4" s="214"/>
      <c r="AF4" s="214"/>
      <c r="AG4" s="214"/>
      <c r="AH4" s="214"/>
      <c r="AI4" s="214"/>
      <c r="AJ4" s="214"/>
      <c r="AK4" s="214"/>
      <c r="AL4" s="214"/>
      <c r="AM4" s="214"/>
      <c r="AN4" s="209" t="s">
        <v>160</v>
      </c>
      <c r="AO4" s="215" t="s">
        <v>161</v>
      </c>
      <c r="AP4" s="215"/>
      <c r="AQ4" s="215"/>
      <c r="AR4" s="216" t="s">
        <v>162</v>
      </c>
      <c r="AS4" s="216"/>
      <c r="AT4" s="217" t="s">
        <v>12</v>
      </c>
      <c r="AU4" s="217"/>
      <c r="AV4" s="217"/>
      <c r="AW4" s="217"/>
      <c r="AX4" s="217"/>
      <c r="AY4" s="217"/>
      <c r="AZ4" s="217"/>
      <c r="BA4" s="218" t="s">
        <v>163</v>
      </c>
      <c r="BB4" s="218"/>
      <c r="BC4" s="218"/>
      <c r="BD4" s="218"/>
      <c r="BE4" s="218"/>
      <c r="BF4" s="218"/>
      <c r="BG4" s="219" t="s">
        <v>164</v>
      </c>
      <c r="BH4" s="219"/>
      <c r="BI4" s="219"/>
      <c r="BJ4" s="219"/>
      <c r="BK4" s="219"/>
      <c r="BL4" s="219"/>
      <c r="BM4" s="219"/>
      <c r="BN4" s="220" t="s">
        <v>165</v>
      </c>
      <c r="BO4" s="220"/>
      <c r="BP4" s="65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</row>
    <row r="5" spans="1:1024" s="75" customFormat="1" ht="128.25" customHeight="1" x14ac:dyDescent="0.2">
      <c r="A5" s="66" t="s">
        <v>98</v>
      </c>
      <c r="B5" s="67" t="s">
        <v>166</v>
      </c>
      <c r="C5" s="67" t="s">
        <v>167</v>
      </c>
      <c r="D5" s="67" t="s">
        <v>168</v>
      </c>
      <c r="E5" s="66" t="s">
        <v>169</v>
      </c>
      <c r="F5" s="66" t="s">
        <v>170</v>
      </c>
      <c r="G5" s="66" t="s">
        <v>21</v>
      </c>
      <c r="H5" s="66" t="s">
        <v>171</v>
      </c>
      <c r="I5" s="66" t="s">
        <v>70</v>
      </c>
      <c r="J5" s="66" t="s">
        <v>172</v>
      </c>
      <c r="K5" s="66" t="s">
        <v>173</v>
      </c>
      <c r="L5" s="66" t="s">
        <v>174</v>
      </c>
      <c r="M5" s="66" t="s">
        <v>175</v>
      </c>
      <c r="N5" s="66" t="s">
        <v>176</v>
      </c>
      <c r="O5" s="66" t="s">
        <v>177</v>
      </c>
      <c r="P5" s="66" t="s">
        <v>178</v>
      </c>
      <c r="Q5" s="66" t="s">
        <v>179</v>
      </c>
      <c r="R5" s="66" t="s">
        <v>180</v>
      </c>
      <c r="S5" s="66" t="s">
        <v>181</v>
      </c>
      <c r="T5" s="66" t="s">
        <v>182</v>
      </c>
      <c r="U5" s="66" t="s">
        <v>183</v>
      </c>
      <c r="V5" s="66" t="s">
        <v>184</v>
      </c>
      <c r="W5" s="66" t="s">
        <v>185</v>
      </c>
      <c r="X5" s="66" t="s">
        <v>186</v>
      </c>
      <c r="Y5" s="68" t="s">
        <v>187</v>
      </c>
      <c r="Z5" s="68" t="s">
        <v>188</v>
      </c>
      <c r="AA5" s="68" t="s">
        <v>189</v>
      </c>
      <c r="AB5" s="68" t="s">
        <v>190</v>
      </c>
      <c r="AC5" s="68" t="s">
        <v>191</v>
      </c>
      <c r="AD5" s="69" t="s">
        <v>192</v>
      </c>
      <c r="AE5" s="69" t="s">
        <v>193</v>
      </c>
      <c r="AF5" s="69" t="s">
        <v>194</v>
      </c>
      <c r="AG5" s="69" t="s">
        <v>18</v>
      </c>
      <c r="AH5" s="69" t="s">
        <v>195</v>
      </c>
      <c r="AI5" s="69" t="s">
        <v>196</v>
      </c>
      <c r="AJ5" s="69" t="s">
        <v>197</v>
      </c>
      <c r="AK5" s="69" t="s">
        <v>198</v>
      </c>
      <c r="AL5" s="69" t="s">
        <v>199</v>
      </c>
      <c r="AM5" s="69" t="s">
        <v>200</v>
      </c>
      <c r="AN5" s="209"/>
      <c r="AO5" s="70" t="s">
        <v>201</v>
      </c>
      <c r="AP5" s="70" t="s">
        <v>202</v>
      </c>
      <c r="AQ5" s="70" t="s">
        <v>203</v>
      </c>
      <c r="AR5" s="69" t="s">
        <v>204</v>
      </c>
      <c r="AS5" s="69" t="s">
        <v>205</v>
      </c>
      <c r="AT5" s="70" t="s">
        <v>206</v>
      </c>
      <c r="AU5" s="70" t="s">
        <v>207</v>
      </c>
      <c r="AV5" s="70" t="s">
        <v>208</v>
      </c>
      <c r="AW5" s="70" t="s">
        <v>209</v>
      </c>
      <c r="AX5" s="70" t="s">
        <v>210</v>
      </c>
      <c r="AY5" s="70" t="s">
        <v>211</v>
      </c>
      <c r="AZ5" s="70" t="s">
        <v>212</v>
      </c>
      <c r="BA5" s="71" t="s">
        <v>213</v>
      </c>
      <c r="BB5" s="71" t="s">
        <v>214</v>
      </c>
      <c r="BC5" s="71" t="s">
        <v>215</v>
      </c>
      <c r="BD5" s="71" t="s">
        <v>216</v>
      </c>
      <c r="BE5" s="71" t="s">
        <v>217</v>
      </c>
      <c r="BF5" s="71" t="s">
        <v>218</v>
      </c>
      <c r="BG5" s="72" t="s">
        <v>219</v>
      </c>
      <c r="BH5" s="72" t="s">
        <v>220</v>
      </c>
      <c r="BI5" s="72" t="s">
        <v>221</v>
      </c>
      <c r="BJ5" s="72" t="s">
        <v>222</v>
      </c>
      <c r="BK5" s="72" t="s">
        <v>223</v>
      </c>
      <c r="BL5" s="72" t="s">
        <v>224</v>
      </c>
      <c r="BM5" s="72" t="s">
        <v>225</v>
      </c>
      <c r="BN5" s="72" t="s">
        <v>226</v>
      </c>
      <c r="BO5" s="72" t="s">
        <v>227</v>
      </c>
      <c r="BP5" s="73" t="s">
        <v>228</v>
      </c>
      <c r="BQ5" s="74"/>
      <c r="BR5" s="74"/>
      <c r="ALJ5" s="74"/>
      <c r="ALK5" s="74"/>
      <c r="ALL5" s="74"/>
      <c r="ALM5" s="74"/>
      <c r="ALN5" s="74"/>
      <c r="ALO5" s="74"/>
      <c r="ALP5" s="74"/>
      <c r="ALQ5" s="74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2.7" customHeight="1" x14ac:dyDescent="0.2">
      <c r="A6" s="221" t="s">
        <v>229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76"/>
      <c r="M6" s="76"/>
      <c r="N6" s="76"/>
      <c r="O6" s="76"/>
      <c r="P6" s="76"/>
      <c r="Q6" s="76"/>
      <c r="R6" s="76"/>
      <c r="S6" s="76"/>
      <c r="T6" s="77"/>
      <c r="U6" s="77"/>
      <c r="V6" s="77"/>
      <c r="W6" s="77"/>
      <c r="X6" s="77"/>
      <c r="Y6" s="78" t="s">
        <v>230</v>
      </c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 t="s">
        <v>231</v>
      </c>
      <c r="AP6" s="78"/>
      <c r="AQ6" s="78"/>
      <c r="AR6" s="78" t="s">
        <v>232</v>
      </c>
      <c r="AS6" s="78" t="s">
        <v>233</v>
      </c>
      <c r="AT6" s="78" t="s">
        <v>234</v>
      </c>
      <c r="AU6" s="78" t="s">
        <v>235</v>
      </c>
      <c r="AV6" s="78" t="s">
        <v>236</v>
      </c>
      <c r="AW6" s="78" t="s">
        <v>237</v>
      </c>
      <c r="AX6" s="78" t="s">
        <v>238</v>
      </c>
      <c r="AY6" s="78" t="s">
        <v>239</v>
      </c>
      <c r="AZ6" s="78" t="s">
        <v>240</v>
      </c>
      <c r="BA6" s="78"/>
      <c r="BB6" s="78"/>
      <c r="BC6" s="78"/>
      <c r="BD6" s="78"/>
      <c r="BE6" s="78"/>
      <c r="BF6" s="78"/>
      <c r="BG6" s="78" t="s">
        <v>241</v>
      </c>
      <c r="BH6" s="78" t="s">
        <v>242</v>
      </c>
      <c r="BI6" s="78" t="s">
        <v>243</v>
      </c>
      <c r="BJ6" s="78" t="s">
        <v>244</v>
      </c>
      <c r="BK6" s="78" t="s">
        <v>245</v>
      </c>
      <c r="BL6" s="78" t="s">
        <v>246</v>
      </c>
      <c r="BM6" s="78" t="s">
        <v>247</v>
      </c>
      <c r="BN6" s="78" t="s">
        <v>248</v>
      </c>
      <c r="BO6" s="78" t="s">
        <v>248</v>
      </c>
      <c r="BP6" s="78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</row>
    <row r="7" spans="1:1024" s="91" customFormat="1" ht="39.950000000000003" customHeight="1" x14ac:dyDescent="0.2">
      <c r="A7" s="79">
        <v>1</v>
      </c>
      <c r="B7" s="80"/>
      <c r="C7" s="81"/>
      <c r="D7" s="82"/>
      <c r="E7" s="83"/>
      <c r="F7" s="82"/>
      <c r="G7" s="82"/>
      <c r="H7" s="82"/>
      <c r="I7" s="82"/>
      <c r="J7" s="82"/>
      <c r="K7" s="84">
        <f>+(IF(AND(B7&gt;0,E7&gt;0),SUMIFS('2.CARGOS-SALARIOS'!F13:F105,'2.CARGOS-SALARIOS'!D13:D105,H7,'2.CARGOS-SALARIOS'!E13:E105,I7,'2.CARGOS-SALARIOS'!C13:C105,G7),0))</f>
        <v>0</v>
      </c>
      <c r="L7" s="85">
        <f>INT(IF(K7&gt;0,((YEARFRAC(E7,'1.DATOS'!$F$4,3))),0))</f>
        <v>0</v>
      </c>
      <c r="M7" s="86">
        <v>0</v>
      </c>
      <c r="N7" s="85">
        <f>SUM('3.ALTONIVEL'!L7:M7)</f>
        <v>0</v>
      </c>
      <c r="O7" s="81">
        <v>5</v>
      </c>
      <c r="P7" s="85">
        <f>+IF(AND(E7&gt;0,OR(MONTH($H$2)=3,MONTH($H$2)=6,MONTH($H$2)=9,MONTH($H$2)=12),MONTH(E7)&lt;=MONTH($H$2),MONTH(E7)&gt;=MONTH($H$2)-2),VLOOKUP(DAYS360(E7,$H$2),'1.DATOS'!$G$27:$I$42,2),0)</f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 t="s">
        <v>43</v>
      </c>
      <c r="Y7" s="87">
        <f>+K7</f>
        <v>0</v>
      </c>
      <c r="Z7" s="87">
        <v>0</v>
      </c>
      <c r="AA7" s="87">
        <v>0</v>
      </c>
      <c r="AB7" s="87">
        <v>0</v>
      </c>
      <c r="AC7" s="87">
        <v>0</v>
      </c>
      <c r="AD7" s="87">
        <f>IF(Y7&gt;0,(('1.DATOS'!D10*$AD$2)*V7),0)</f>
        <v>0</v>
      </c>
      <c r="AE7" s="87">
        <f>+IF(Y7&gt;0,(('1.DATOS'!D10*$AE$2)),0)</f>
        <v>0</v>
      </c>
      <c r="AF7" s="87" t="b">
        <f>+IF(Y7&gt;0,IF(OR(I7='2.CARGOS-SALARIOS'!J13,I7='2.CARGOS-SALARIOS'!J14),'1.DATOS'!D10*$AF$2,"No Apĺica"))</f>
        <v>0</v>
      </c>
      <c r="AG7" s="87" t="b">
        <f>+IF(Y7&gt;0,IF(OR(G7='1.DATOS'!H15,G7='1.DATOS'!H16),Y7*VLOOKUP(X7,'1.DATOS'!C14:E22,3,0),"No Aplica"))</f>
        <v>0</v>
      </c>
      <c r="AH7" s="87" t="b">
        <f>+IF(Y7&gt;0,Y7*0.015*N7)</f>
        <v>0</v>
      </c>
      <c r="AI7" s="87" t="str">
        <f>+IF(AND(Y7&gt;0,G7='1.DATOS'!H16,J7="SI"),'1.DATOS'!D10*$AI$2,"No Aplica")</f>
        <v>No Aplica</v>
      </c>
      <c r="AJ7" s="87" t="str">
        <f>+IF(AND(Y7&gt;0,G7='1.DATOS'!H14,X7='1.DATOS'!C19),Y7*'1.DATOS'!E19,"No Aplica")</f>
        <v>No Aplica</v>
      </c>
      <c r="AK7" s="87" t="str">
        <f>+IF(AND(Y7&gt;0,G7='1.DATOS'!H14,X7='1.DATOS'!C20),Y7*'1.DATOS'!E20,"No Aplica")</f>
        <v>No Aplica</v>
      </c>
      <c r="AL7" s="87" t="str">
        <f>+IF(AND(Y7&gt;0,G7='1.DATOS'!H14,X7='1.DATOS'!C21),Y7*'1.DATOS'!E21,"No Aplica")</f>
        <v>No Aplica</v>
      </c>
      <c r="AM7" s="87"/>
      <c r="AN7" s="87">
        <f>SUM(Y7:AM7)</f>
        <v>0</v>
      </c>
      <c r="AO7" s="88" t="b">
        <f>+IF(Y7&gt;0,('1.DATOS'!D10*'1.DATOS'!F10*'1.DATOS'!G10)*VLOOKUP(I7,'1.DATOS'!$H$47:$I$60,2,FALSE()))</f>
        <v>0</v>
      </c>
      <c r="AP7" s="88"/>
      <c r="AQ7" s="88">
        <v>0</v>
      </c>
      <c r="AR7" s="88">
        <f>+((((AN7+AX7)+(AN7+AX7)/30*120/12))/30*$AR$2)*0</f>
        <v>0</v>
      </c>
      <c r="AS7" s="88">
        <f>+((((AN7+AX7)+(AN7+AX7)/30*105/12))/30*$AS$2)*0</f>
        <v>0</v>
      </c>
      <c r="AT7" s="88">
        <f>+((AN7*12)/52)*'1.DATOS'!J10</f>
        <v>0</v>
      </c>
      <c r="AU7" s="88">
        <f>+AN7*'1.DATOS'!J11</f>
        <v>0</v>
      </c>
      <c r="AV7" s="88">
        <f>((AN7*12)/52)*'1.DATOS'!J13</f>
        <v>0</v>
      </c>
      <c r="AW7" s="88">
        <f>+AN7*'1.DATOS'!J12</f>
        <v>0</v>
      </c>
      <c r="AX7" s="88">
        <f>+AN7*'1.DATOS'!J14</f>
        <v>0</v>
      </c>
      <c r="AY7" s="88">
        <f>+IF(OR('1.DATOS'!D4='1.DATOS'!C28,'1.DATOS'!D4='1.DATOS'!C31,'1.DATOS'!D4='1.DATOS'!C34,'1.DATOS'!D4='1.DATOS'!C37),AN7/30*530/360,"Falso")</f>
        <v>0</v>
      </c>
      <c r="AZ7" s="88">
        <v>0</v>
      </c>
      <c r="BA7" s="88" t="b">
        <f>+IF(AN7&gt;0,($BA$2*'1.DATOS'!D10*T7))</f>
        <v>0</v>
      </c>
      <c r="BB7" s="88">
        <v>0</v>
      </c>
      <c r="BC7" s="88">
        <v>0</v>
      </c>
      <c r="BD7" s="88">
        <v>0</v>
      </c>
      <c r="BE7" s="88">
        <v>0</v>
      </c>
      <c r="BF7" s="88" t="b">
        <f>+IF(Y7&gt;0,('1.DATOS'!$C$10*$BF$2)*U7)</f>
        <v>0</v>
      </c>
      <c r="BG7" s="88">
        <f>+AN7*0.01</f>
        <v>0</v>
      </c>
      <c r="BH7" s="88">
        <v>0</v>
      </c>
      <c r="BI7" s="88">
        <v>0</v>
      </c>
      <c r="BJ7" s="88">
        <v>0</v>
      </c>
      <c r="BK7" s="88">
        <f>+(BI7+BJ7)*0.12</f>
        <v>0</v>
      </c>
      <c r="BL7" s="88">
        <v>0</v>
      </c>
      <c r="BM7" s="88">
        <v>0</v>
      </c>
      <c r="BN7" s="88">
        <v>0</v>
      </c>
      <c r="BO7" s="88">
        <v>0</v>
      </c>
      <c r="BP7" s="89">
        <f>+SUM(AN7:BO7)</f>
        <v>0</v>
      </c>
      <c r="BQ7" s="90"/>
      <c r="ALT7" s="92"/>
      <c r="ALU7" s="92"/>
      <c r="ALV7" s="92"/>
      <c r="ALW7" s="92"/>
      <c r="ALX7" s="92"/>
      <c r="ALY7" s="92"/>
      <c r="ALZ7" s="92"/>
      <c r="AMA7" s="92"/>
      <c r="AMB7" s="92"/>
      <c r="AMC7" s="92"/>
      <c r="AMD7" s="92"/>
      <c r="AME7" s="92"/>
      <c r="AMF7" s="92"/>
      <c r="AMG7" s="92"/>
      <c r="AMH7" s="92"/>
      <c r="AMI7"/>
      <c r="AMJ7"/>
    </row>
    <row r="8" spans="1:1024" ht="15.75" x14ac:dyDescent="0.25">
      <c r="A8" s="93"/>
      <c r="B8" s="94"/>
      <c r="C8" s="95"/>
      <c r="D8" s="95"/>
      <c r="E8" s="96"/>
      <c r="F8" s="95"/>
      <c r="G8" s="95"/>
      <c r="H8" s="95"/>
      <c r="I8" s="95"/>
      <c r="J8" s="95"/>
      <c r="K8" s="84"/>
      <c r="L8" s="97"/>
      <c r="M8" s="81"/>
      <c r="N8" s="97"/>
      <c r="O8" s="81"/>
      <c r="P8" s="81"/>
      <c r="Q8" s="81"/>
      <c r="R8" s="81"/>
      <c r="S8" s="81"/>
      <c r="T8" s="81"/>
      <c r="U8" s="81"/>
      <c r="V8" s="81"/>
      <c r="W8" s="81"/>
      <c r="X8" s="81"/>
      <c r="Y8" s="98"/>
      <c r="Z8" s="98"/>
      <c r="AA8" s="98"/>
      <c r="AB8" s="98"/>
      <c r="AC8" s="98"/>
      <c r="AD8" s="98"/>
      <c r="AE8" s="98"/>
      <c r="AF8" s="99"/>
      <c r="AG8" s="98"/>
      <c r="AH8" s="98"/>
      <c r="AI8" s="98"/>
      <c r="AJ8" s="98"/>
      <c r="AK8" s="98"/>
      <c r="AL8" s="98"/>
      <c r="AM8" s="98"/>
      <c r="AN8" s="98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65"/>
      <c r="BQ8" s="101"/>
    </row>
    <row r="9" spans="1:1024" ht="24.95" customHeight="1" x14ac:dyDescent="0.25">
      <c r="A9" s="222" t="s">
        <v>130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R9"/>
    </row>
    <row r="10" spans="1:1024" ht="15.75" x14ac:dyDescent="0.2">
      <c r="A10" s="104"/>
      <c r="B10" s="104"/>
      <c r="C10" s="104"/>
      <c r="D10" s="104"/>
      <c r="E10" s="104"/>
      <c r="F10" s="105"/>
      <c r="G10" s="105"/>
      <c r="H10" s="105"/>
      <c r="I10" s="105"/>
      <c r="J10" s="105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R10"/>
    </row>
    <row r="11" spans="1:1024" x14ac:dyDescent="0.2">
      <c r="H11"/>
      <c r="I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R11"/>
    </row>
    <row r="12" spans="1:1024" x14ac:dyDescent="0.2">
      <c r="H12"/>
      <c r="I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R12"/>
    </row>
    <row r="13" spans="1:1024" ht="30" x14ac:dyDescent="0.25">
      <c r="H13" s="110" t="s">
        <v>249</v>
      </c>
      <c r="I13" s="111">
        <f>+COUNTA(B7:B8)</f>
        <v>0</v>
      </c>
      <c r="K13" s="112">
        <f t="shared" ref="K13:W13" si="0">+K7</f>
        <v>0</v>
      </c>
      <c r="L13" s="112">
        <f t="shared" si="0"/>
        <v>0</v>
      </c>
      <c r="M13" s="112">
        <f t="shared" si="0"/>
        <v>0</v>
      </c>
      <c r="N13" s="112">
        <f t="shared" si="0"/>
        <v>0</v>
      </c>
      <c r="O13" s="112">
        <f t="shared" si="0"/>
        <v>5</v>
      </c>
      <c r="P13" s="112">
        <f t="shared" si="0"/>
        <v>0</v>
      </c>
      <c r="Q13" s="112">
        <f t="shared" si="0"/>
        <v>0</v>
      </c>
      <c r="R13" s="112">
        <f t="shared" si="0"/>
        <v>0</v>
      </c>
      <c r="S13" s="112">
        <f t="shared" si="0"/>
        <v>0</v>
      </c>
      <c r="T13" s="112">
        <f t="shared" si="0"/>
        <v>0</v>
      </c>
      <c r="U13" s="112">
        <f t="shared" si="0"/>
        <v>0</v>
      </c>
      <c r="V13" s="112">
        <f t="shared" si="0"/>
        <v>0</v>
      </c>
      <c r="W13" s="112">
        <f t="shared" si="0"/>
        <v>0</v>
      </c>
      <c r="X13" s="113"/>
      <c r="Y13" s="112">
        <f t="shared" ref="Y13:AL13" si="1">+Y7</f>
        <v>0</v>
      </c>
      <c r="Z13" s="112">
        <f t="shared" si="1"/>
        <v>0</v>
      </c>
      <c r="AA13" s="112">
        <f t="shared" si="1"/>
        <v>0</v>
      </c>
      <c r="AB13" s="112">
        <f t="shared" si="1"/>
        <v>0</v>
      </c>
      <c r="AC13" s="112">
        <f t="shared" si="1"/>
        <v>0</v>
      </c>
      <c r="AD13" s="112">
        <f t="shared" si="1"/>
        <v>0</v>
      </c>
      <c r="AE13" s="112">
        <f t="shared" si="1"/>
        <v>0</v>
      </c>
      <c r="AF13" s="112" t="b">
        <f t="shared" si="1"/>
        <v>0</v>
      </c>
      <c r="AG13" s="112" t="b">
        <f t="shared" si="1"/>
        <v>0</v>
      </c>
      <c r="AH13" s="112" t="b">
        <f t="shared" si="1"/>
        <v>0</v>
      </c>
      <c r="AI13" s="112" t="str">
        <f t="shared" si="1"/>
        <v>No Aplica</v>
      </c>
      <c r="AJ13" s="112" t="str">
        <f t="shared" si="1"/>
        <v>No Aplica</v>
      </c>
      <c r="AK13" s="112" t="str">
        <f t="shared" si="1"/>
        <v>No Aplica</v>
      </c>
      <c r="AL13" s="112" t="str">
        <f t="shared" si="1"/>
        <v>No Aplica</v>
      </c>
      <c r="AM13" s="112"/>
      <c r="AN13" s="112">
        <f>+AN7</f>
        <v>0</v>
      </c>
      <c r="AO13" s="112" t="b">
        <f>+AO7</f>
        <v>0</v>
      </c>
      <c r="AP13" s="112"/>
      <c r="AQ13" s="112">
        <f t="shared" ref="AQ13:BP13" si="2">+AQ7</f>
        <v>0</v>
      </c>
      <c r="AR13" s="112">
        <f t="shared" si="2"/>
        <v>0</v>
      </c>
      <c r="AS13" s="112">
        <f t="shared" si="2"/>
        <v>0</v>
      </c>
      <c r="AT13" s="112">
        <f t="shared" si="2"/>
        <v>0</v>
      </c>
      <c r="AU13" s="112">
        <f t="shared" si="2"/>
        <v>0</v>
      </c>
      <c r="AV13" s="112">
        <f t="shared" si="2"/>
        <v>0</v>
      </c>
      <c r="AW13" s="112">
        <f t="shared" si="2"/>
        <v>0</v>
      </c>
      <c r="AX13" s="112">
        <f t="shared" si="2"/>
        <v>0</v>
      </c>
      <c r="AY13" s="112">
        <f t="shared" si="2"/>
        <v>0</v>
      </c>
      <c r="AZ13" s="112">
        <f t="shared" si="2"/>
        <v>0</v>
      </c>
      <c r="BA13" s="112" t="b">
        <f t="shared" si="2"/>
        <v>0</v>
      </c>
      <c r="BB13" s="112">
        <f t="shared" si="2"/>
        <v>0</v>
      </c>
      <c r="BC13" s="112">
        <f t="shared" si="2"/>
        <v>0</v>
      </c>
      <c r="BD13" s="112">
        <f t="shared" si="2"/>
        <v>0</v>
      </c>
      <c r="BE13" s="112">
        <f t="shared" si="2"/>
        <v>0</v>
      </c>
      <c r="BF13" s="112" t="b">
        <f t="shared" si="2"/>
        <v>0</v>
      </c>
      <c r="BG13" s="112">
        <f t="shared" si="2"/>
        <v>0</v>
      </c>
      <c r="BH13" s="112">
        <f t="shared" si="2"/>
        <v>0</v>
      </c>
      <c r="BI13" s="112">
        <f t="shared" si="2"/>
        <v>0</v>
      </c>
      <c r="BJ13" s="112">
        <f t="shared" si="2"/>
        <v>0</v>
      </c>
      <c r="BK13" s="112">
        <f t="shared" si="2"/>
        <v>0</v>
      </c>
      <c r="BL13" s="112">
        <f t="shared" si="2"/>
        <v>0</v>
      </c>
      <c r="BM13" s="112">
        <f t="shared" si="2"/>
        <v>0</v>
      </c>
      <c r="BN13" s="112">
        <f t="shared" si="2"/>
        <v>0</v>
      </c>
      <c r="BO13" s="112">
        <f t="shared" si="2"/>
        <v>0</v>
      </c>
      <c r="BP13" s="114">
        <f t="shared" si="2"/>
        <v>0</v>
      </c>
      <c r="BR13" s="101"/>
    </row>
  </sheetData>
  <mergeCells count="25">
    <mergeCell ref="BG4:BM4"/>
    <mergeCell ref="BN4:BO4"/>
    <mergeCell ref="A6:K6"/>
    <mergeCell ref="A9:K9"/>
    <mergeCell ref="AN4:AN5"/>
    <mergeCell ref="AO4:AQ4"/>
    <mergeCell ref="AR4:AS4"/>
    <mergeCell ref="AT4:AZ4"/>
    <mergeCell ref="BA4:BF4"/>
    <mergeCell ref="A4:K4"/>
    <mergeCell ref="L4:P4"/>
    <mergeCell ref="Q4:X4"/>
    <mergeCell ref="Y4:AC4"/>
    <mergeCell ref="AD4:AM4"/>
    <mergeCell ref="AJ1:AL2"/>
    <mergeCell ref="AN1:AN3"/>
    <mergeCell ref="AO1:AQ2"/>
    <mergeCell ref="AT1:AY2"/>
    <mergeCell ref="AB2:AC2"/>
    <mergeCell ref="AB3:AC3"/>
    <mergeCell ref="A1:F3"/>
    <mergeCell ref="G1:G3"/>
    <mergeCell ref="H1:H3"/>
    <mergeCell ref="AB1:AC1"/>
    <mergeCell ref="AG1:AH2"/>
  </mergeCells>
  <dataValidations count="1">
    <dataValidation type="list" operator="equal" allowBlank="1" showErrorMessage="1" sqref="J7:J8">
      <formula1>"SI,NO"</formula1>
      <formula2>0</formula2>
    </dataValidation>
  </dataValidations>
  <pageMargins left="0.31527777777777799" right="0.39374999999999999" top="0.74791666666666701" bottom="0.47222222222222199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equal" allowBlank="1" showErrorMessage="1">
          <x14:formula1>
            <xm:f>'1.DATOS'!$H$10:$H$11</xm:f>
          </x14:formula1>
          <x14:formula2>
            <xm:f>0</xm:f>
          </x14:formula2>
          <xm:sqref>D7:D8</xm:sqref>
        </x14:dataValidation>
        <x14:dataValidation type="list" operator="equal" allowBlank="1" showErrorMessage="1">
          <x14:formula1>
            <xm:f>'1.DATOS'!$G$13</xm:f>
          </x14:formula1>
          <x14:formula2>
            <xm:f>0</xm:f>
          </x14:formula2>
          <xm:sqref>F7</xm:sqref>
        </x14:dataValidation>
        <x14:dataValidation type="list" operator="equal" allowBlank="1" showErrorMessage="1">
          <x14:formula1>
            <xm:f>'1.DATOS'!$H$13:$H$14</xm:f>
          </x14:formula1>
          <x14:formula2>
            <xm:f>0</xm:f>
          </x14:formula2>
          <xm:sqref>G7</xm:sqref>
        </x14:dataValidation>
        <x14:dataValidation type="list" operator="equal" allowBlank="1" showErrorMessage="1">
          <x14:formula1>
            <xm:f>'2.CARGOS-SALARIOS'!$I$13:$I$36</xm:f>
          </x14:formula1>
          <x14:formula2>
            <xm:f>0</xm:f>
          </x14:formula2>
          <xm:sqref>H7</xm:sqref>
        </x14:dataValidation>
        <x14:dataValidation type="list" operator="equal" allowBlank="1" showErrorMessage="1">
          <x14:formula1>
            <xm:f>'2.CARGOS-SALARIOS'!$J$13:$J$21</xm:f>
          </x14:formula1>
          <x14:formula2>
            <xm:f>0</xm:f>
          </x14:formula2>
          <xm:sqref>I7</xm:sqref>
        </x14:dataValidation>
        <x14:dataValidation type="list" operator="equal" allowBlank="1" showErrorMessage="1">
          <x14:formula1>
            <xm:f>'1.DATOS'!$C$14:$C$22</xm:f>
          </x14:formula1>
          <x14:formula2>
            <xm:f>0</xm:f>
          </x14:formula2>
          <xm:sqref>X7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2"/>
  <sheetViews>
    <sheetView showGridLines="0" topLeftCell="BW5" zoomScale="60" zoomScaleNormal="60" workbookViewId="0">
      <selection activeCell="AU9" sqref="AU9"/>
    </sheetView>
  </sheetViews>
  <sheetFormatPr baseColWidth="10" defaultColWidth="9.140625" defaultRowHeight="12.75" x14ac:dyDescent="0.2"/>
  <cols>
    <col min="1" max="1" width="7.85546875" style="115" customWidth="1"/>
    <col min="2" max="2" width="15.28515625" style="115" customWidth="1"/>
    <col min="3" max="3" width="20.42578125" style="115" customWidth="1"/>
    <col min="4" max="4" width="11.5703125" style="115"/>
    <col min="5" max="5" width="13.140625" style="115" customWidth="1"/>
    <col min="6" max="6" width="11.5703125" style="115"/>
    <col min="7" max="7" width="23.28515625" customWidth="1"/>
    <col min="8" max="8" width="21.42578125" customWidth="1"/>
    <col min="9" max="9" width="30.140625" customWidth="1"/>
    <col min="10" max="10" width="16.7109375" customWidth="1"/>
    <col min="11" max="11" width="15.140625" customWidth="1"/>
    <col min="12" max="12" width="13.28515625" customWidth="1"/>
    <col min="13" max="13" width="11.85546875" customWidth="1"/>
    <col min="14" max="21" width="15.28515625" customWidth="1"/>
    <col min="22" max="22" width="19.5703125" customWidth="1"/>
    <col min="23" max="23" width="14.85546875" customWidth="1"/>
    <col min="24" max="26" width="15.28515625" customWidth="1"/>
    <col min="27" max="32" width="11.85546875" customWidth="1"/>
    <col min="33" max="33" width="15.5703125" style="116" customWidth="1"/>
    <col min="34" max="34" width="15.85546875" style="116" customWidth="1"/>
    <col min="35" max="35" width="14" style="116" customWidth="1"/>
    <col min="36" max="36" width="12.85546875" style="116" customWidth="1"/>
    <col min="37" max="37" width="15.140625" style="116" customWidth="1"/>
    <col min="38" max="40" width="13.140625" style="116" customWidth="1"/>
    <col min="41" max="41" width="14.85546875" style="116" customWidth="1"/>
    <col min="42" max="42" width="12.140625" style="116" customWidth="1"/>
    <col min="43" max="43" width="18.5703125" style="116" customWidth="1"/>
    <col min="44" max="45" width="15.7109375" style="116" customWidth="1"/>
    <col min="46" max="46" width="17.28515625" style="116" customWidth="1"/>
    <col min="47" max="47" width="19.85546875" style="116" customWidth="1"/>
    <col min="48" max="51" width="12.140625" style="116" customWidth="1"/>
    <col min="52" max="52" width="16.140625" style="116" customWidth="1"/>
    <col min="53" max="55" width="15.5703125" style="116" customWidth="1"/>
    <col min="56" max="56" width="15.85546875" style="116" customWidth="1"/>
    <col min="57" max="61" width="12.85546875" style="116" customWidth="1"/>
    <col min="62" max="62" width="12.42578125" customWidth="1"/>
    <col min="63" max="63" width="14.85546875" customWidth="1"/>
    <col min="64" max="64" width="15.140625" customWidth="1"/>
    <col min="65" max="80" width="12.42578125" customWidth="1"/>
    <col min="81" max="81" width="13.7109375" customWidth="1"/>
    <col min="82" max="82" width="13.42578125" customWidth="1"/>
    <col min="83" max="1025" width="8.42578125" customWidth="1"/>
  </cols>
  <sheetData>
    <row r="1" spans="1:82" x14ac:dyDescent="0.2">
      <c r="A1"/>
      <c r="B1"/>
      <c r="C1"/>
      <c r="D1"/>
      <c r="E1"/>
      <c r="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82" ht="30.2" customHeight="1" x14ac:dyDescent="0.3">
      <c r="A2" s="117" t="s">
        <v>0</v>
      </c>
      <c r="B2" s="117"/>
      <c r="C2" s="118" t="e">
        <f>#REF!</f>
        <v>#REF!</v>
      </c>
      <c r="D2" s="117"/>
      <c r="E2" s="117"/>
      <c r="F2" s="117"/>
      <c r="G2" s="119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82" ht="30.2" customHeight="1" x14ac:dyDescent="0.3">
      <c r="A3" s="117" t="s">
        <v>2</v>
      </c>
      <c r="B3" s="117"/>
      <c r="C3" s="118" t="e">
        <f>#REF!</f>
        <v>#REF!</v>
      </c>
      <c r="D3" s="117"/>
      <c r="E3" s="117"/>
      <c r="F3" s="117"/>
      <c r="G3" s="119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82" x14ac:dyDescent="0.2">
      <c r="A4"/>
      <c r="B4"/>
      <c r="C4"/>
      <c r="D4"/>
      <c r="E4"/>
      <c r="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82" ht="18" customHeight="1" x14ac:dyDescent="0.2">
      <c r="A5"/>
      <c r="B5"/>
      <c r="C5"/>
      <c r="D5"/>
      <c r="E5"/>
      <c r="F5"/>
      <c r="H5" s="223" t="e">
        <f>"MAQUETA DE"&amp;" "&amp;#REF!</f>
        <v>#REF!</v>
      </c>
      <c r="I5" s="120" t="s">
        <v>51</v>
      </c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82" ht="29.25" customHeight="1" x14ac:dyDescent="0.3">
      <c r="A6" s="121" t="s">
        <v>250</v>
      </c>
      <c r="B6" s="121"/>
      <c r="C6" s="121"/>
      <c r="D6" s="121"/>
      <c r="E6" s="121"/>
      <c r="F6" s="121"/>
      <c r="H6" s="223"/>
      <c r="I6" s="122" t="e">
        <f>VLOOKUP(#REF!,#REF!,2,0)</f>
        <v>#REF!</v>
      </c>
      <c r="AG6" s="123"/>
      <c r="AH6" s="124" t="str">
        <f>'2.CARGOS-SALARIOS'!E16</f>
        <v>Medio Tiempo</v>
      </c>
      <c r="AI6" s="123"/>
      <c r="AJ6" s="125">
        <v>0.2</v>
      </c>
      <c r="AK6" s="125">
        <v>0.5</v>
      </c>
      <c r="AL6" s="123"/>
      <c r="AM6" s="123"/>
      <c r="AN6" s="126">
        <f>'1.DATOS'!C10</f>
        <v>30</v>
      </c>
      <c r="AO6" s="123"/>
      <c r="AP6" s="123"/>
      <c r="AQ6" s="123" t="s">
        <v>251</v>
      </c>
      <c r="AR6" s="123" t="s">
        <v>251</v>
      </c>
      <c r="AS6" s="123"/>
      <c r="AT6" s="123"/>
      <c r="AU6" s="123"/>
      <c r="AV6" s="123"/>
      <c r="AW6" s="123"/>
      <c r="AX6" s="123"/>
      <c r="AY6" s="123"/>
      <c r="AZ6" s="123">
        <v>50</v>
      </c>
      <c r="BA6" s="123">
        <v>120</v>
      </c>
      <c r="BB6" s="123">
        <v>60</v>
      </c>
      <c r="BC6" s="123"/>
      <c r="BD6" s="123"/>
      <c r="BE6" s="125">
        <v>0.4</v>
      </c>
      <c r="BF6" s="126"/>
      <c r="BG6" s="123"/>
      <c r="BH6" s="123"/>
      <c r="BI6" s="123"/>
      <c r="BJ6" s="125">
        <v>0.02</v>
      </c>
      <c r="BK6" s="125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09"/>
    </row>
    <row r="7" spans="1:82" ht="39.75" customHeight="1" x14ac:dyDescent="0.2">
      <c r="A7"/>
      <c r="B7"/>
      <c r="C7"/>
      <c r="D7"/>
      <c r="E7"/>
      <c r="F7"/>
      <c r="AG7" s="224" t="s">
        <v>252</v>
      </c>
      <c r="AH7" s="224"/>
      <c r="AI7" s="224"/>
      <c r="AJ7" s="224"/>
      <c r="AK7" s="224"/>
      <c r="AL7" s="224"/>
      <c r="AM7" s="224"/>
      <c r="AN7" s="224"/>
      <c r="AO7" s="224"/>
      <c r="AP7" s="224"/>
      <c r="AQ7" s="225" t="s">
        <v>253</v>
      </c>
      <c r="AR7" s="225"/>
      <c r="AS7" s="225"/>
      <c r="AT7" s="225"/>
      <c r="AU7" s="225"/>
      <c r="AV7" s="226" t="s">
        <v>254</v>
      </c>
      <c r="AW7" s="226"/>
      <c r="AX7" s="226"/>
      <c r="AY7" s="226"/>
      <c r="AZ7" s="227" t="s">
        <v>255</v>
      </c>
      <c r="BA7" s="227"/>
      <c r="BB7" s="227"/>
      <c r="BC7" s="227"/>
      <c r="BD7" s="227"/>
      <c r="BE7" s="228" t="s">
        <v>256</v>
      </c>
      <c r="BF7" s="228"/>
      <c r="BG7" s="228"/>
      <c r="BH7" s="228"/>
      <c r="BI7" s="228"/>
      <c r="BJ7" s="229" t="s">
        <v>12</v>
      </c>
      <c r="BK7" s="229"/>
      <c r="BL7" s="229"/>
      <c r="BM7" s="229"/>
      <c r="BN7" s="230" t="s">
        <v>164</v>
      </c>
      <c r="BO7" s="230"/>
      <c r="BP7" s="230"/>
      <c r="BQ7" s="230"/>
      <c r="BR7" s="230"/>
      <c r="BS7" s="230"/>
      <c r="BT7" s="230"/>
      <c r="BU7" s="231" t="s">
        <v>165</v>
      </c>
      <c r="BV7" s="231"/>
      <c r="BW7" s="231"/>
      <c r="BX7" s="231"/>
      <c r="BY7" s="231"/>
      <c r="BZ7" s="231"/>
      <c r="CA7" s="231"/>
      <c r="CB7" s="231"/>
      <c r="CC7" s="232" t="s">
        <v>257</v>
      </c>
    </row>
    <row r="8" spans="1:82" ht="26.45" customHeight="1" x14ac:dyDescent="0.2">
      <c r="A8" s="233" t="s">
        <v>258</v>
      </c>
      <c r="B8" s="233"/>
      <c r="C8" s="233"/>
      <c r="D8" s="233"/>
      <c r="E8" s="233"/>
      <c r="F8" s="233"/>
      <c r="G8" s="233"/>
      <c r="H8" s="233"/>
      <c r="I8" s="233"/>
      <c r="J8" s="233"/>
      <c r="K8" s="234" t="s">
        <v>157</v>
      </c>
      <c r="L8" s="234"/>
      <c r="M8" s="234"/>
      <c r="N8" s="234"/>
      <c r="O8" s="234"/>
      <c r="P8" s="235" t="s">
        <v>259</v>
      </c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127">
        <v>1</v>
      </c>
      <c r="AH8" s="127">
        <v>2</v>
      </c>
      <c r="AI8" s="127">
        <v>3</v>
      </c>
      <c r="AJ8" s="127">
        <v>4</v>
      </c>
      <c r="AK8" s="127">
        <v>5</v>
      </c>
      <c r="AL8" s="127">
        <v>6</v>
      </c>
      <c r="AM8" s="127">
        <v>7</v>
      </c>
      <c r="AN8" s="127">
        <v>8</v>
      </c>
      <c r="AO8" s="127">
        <v>9</v>
      </c>
      <c r="AP8" s="127">
        <v>10</v>
      </c>
      <c r="AQ8" s="128">
        <v>1</v>
      </c>
      <c r="AR8" s="128">
        <v>2</v>
      </c>
      <c r="AS8" s="128">
        <v>3</v>
      </c>
      <c r="AT8" s="128">
        <v>4</v>
      </c>
      <c r="AU8" s="128">
        <v>4</v>
      </c>
      <c r="AV8" s="129">
        <v>1</v>
      </c>
      <c r="AW8" s="129">
        <v>2</v>
      </c>
      <c r="AX8" s="129">
        <v>3</v>
      </c>
      <c r="AY8" s="129">
        <v>4</v>
      </c>
      <c r="AZ8" s="130">
        <v>1</v>
      </c>
      <c r="BA8" s="131">
        <v>2</v>
      </c>
      <c r="BB8" s="130">
        <v>3</v>
      </c>
      <c r="BC8" s="131">
        <v>4</v>
      </c>
      <c r="BD8" s="130">
        <v>5</v>
      </c>
      <c r="BE8" s="132">
        <v>1</v>
      </c>
      <c r="BF8" s="132">
        <v>2</v>
      </c>
      <c r="BG8" s="132">
        <v>3</v>
      </c>
      <c r="BH8" s="132">
        <v>4</v>
      </c>
      <c r="BI8" s="132">
        <v>5</v>
      </c>
      <c r="BJ8" s="133">
        <v>1</v>
      </c>
      <c r="BK8" s="133">
        <v>2</v>
      </c>
      <c r="BL8" s="133">
        <v>3</v>
      </c>
      <c r="BM8" s="133">
        <v>4</v>
      </c>
      <c r="BN8" s="134">
        <v>1</v>
      </c>
      <c r="BO8" s="134">
        <v>2</v>
      </c>
      <c r="BP8" s="134">
        <v>3</v>
      </c>
      <c r="BQ8" s="134">
        <v>4</v>
      </c>
      <c r="BR8" s="135">
        <v>5</v>
      </c>
      <c r="BS8" s="134">
        <v>6</v>
      </c>
      <c r="BT8" s="135">
        <v>7</v>
      </c>
      <c r="BU8" s="136">
        <v>1</v>
      </c>
      <c r="BV8" s="136">
        <v>2</v>
      </c>
      <c r="BW8" s="136">
        <v>3</v>
      </c>
      <c r="BX8" s="136">
        <v>4</v>
      </c>
      <c r="BY8" s="136">
        <v>5</v>
      </c>
      <c r="BZ8" s="136">
        <v>6</v>
      </c>
      <c r="CA8" s="136">
        <v>7</v>
      </c>
      <c r="CB8" s="136">
        <v>8</v>
      </c>
      <c r="CC8" s="232"/>
    </row>
    <row r="9" spans="1:82" ht="99" customHeight="1" x14ac:dyDescent="0.2">
      <c r="A9" s="137" t="s">
        <v>98</v>
      </c>
      <c r="B9" s="137" t="s">
        <v>166</v>
      </c>
      <c r="C9" s="137" t="s">
        <v>167</v>
      </c>
      <c r="D9" s="137" t="s">
        <v>168</v>
      </c>
      <c r="E9" s="138" t="s">
        <v>169</v>
      </c>
      <c r="F9" s="137" t="s">
        <v>19</v>
      </c>
      <c r="G9" s="139" t="s">
        <v>170</v>
      </c>
      <c r="H9" s="137" t="s">
        <v>99</v>
      </c>
      <c r="I9" s="137" t="s">
        <v>171</v>
      </c>
      <c r="J9" s="137" t="s">
        <v>260</v>
      </c>
      <c r="K9" s="138" t="s">
        <v>174</v>
      </c>
      <c r="L9" s="138" t="s">
        <v>261</v>
      </c>
      <c r="M9" s="138" t="s">
        <v>176</v>
      </c>
      <c r="N9" s="140" t="s">
        <v>262</v>
      </c>
      <c r="O9" s="140" t="s">
        <v>178</v>
      </c>
      <c r="P9" s="140" t="s">
        <v>263</v>
      </c>
      <c r="Q9" s="140" t="s">
        <v>183</v>
      </c>
      <c r="R9" s="140" t="s">
        <v>264</v>
      </c>
      <c r="S9" s="140" t="s">
        <v>184</v>
      </c>
      <c r="T9" s="140" t="s">
        <v>265</v>
      </c>
      <c r="U9" s="140" t="s">
        <v>266</v>
      </c>
      <c r="V9" s="140" t="s">
        <v>267</v>
      </c>
      <c r="W9" s="140" t="s">
        <v>268</v>
      </c>
      <c r="X9" s="140" t="s">
        <v>269</v>
      </c>
      <c r="Y9" s="140" t="s">
        <v>270</v>
      </c>
      <c r="Z9" s="140" t="s">
        <v>181</v>
      </c>
      <c r="AA9" s="140" t="s">
        <v>271</v>
      </c>
      <c r="AB9" s="140" t="s">
        <v>271</v>
      </c>
      <c r="AC9" s="140" t="s">
        <v>271</v>
      </c>
      <c r="AD9" s="140" t="s">
        <v>271</v>
      </c>
      <c r="AE9" s="140" t="s">
        <v>271</v>
      </c>
      <c r="AF9" s="140" t="s">
        <v>271</v>
      </c>
      <c r="AG9" s="141" t="s">
        <v>272</v>
      </c>
      <c r="AH9" s="141" t="s">
        <v>273</v>
      </c>
      <c r="AI9" s="141"/>
      <c r="AJ9" s="141" t="s">
        <v>274</v>
      </c>
      <c r="AK9" s="141" t="s">
        <v>275</v>
      </c>
      <c r="AL9" s="141" t="s">
        <v>276</v>
      </c>
      <c r="AM9" s="141" t="s">
        <v>277</v>
      </c>
      <c r="AN9" s="141" t="s">
        <v>278</v>
      </c>
      <c r="AO9" s="142" t="s">
        <v>279</v>
      </c>
      <c r="AP9" s="142" t="s">
        <v>279</v>
      </c>
      <c r="AQ9" s="142" t="s">
        <v>280</v>
      </c>
      <c r="AR9" s="141" t="s">
        <v>281</v>
      </c>
      <c r="AS9" s="141" t="s">
        <v>282</v>
      </c>
      <c r="AT9" s="141" t="s">
        <v>283</v>
      </c>
      <c r="AU9" s="141" t="s">
        <v>284</v>
      </c>
      <c r="AV9" s="141" t="s">
        <v>285</v>
      </c>
      <c r="AW9" s="141" t="s">
        <v>286</v>
      </c>
      <c r="AX9" s="141" t="s">
        <v>287</v>
      </c>
      <c r="AY9" s="142" t="s">
        <v>288</v>
      </c>
      <c r="AZ9" s="142" t="s">
        <v>289</v>
      </c>
      <c r="BA9" s="142" t="s">
        <v>290</v>
      </c>
      <c r="BB9" s="142" t="s">
        <v>291</v>
      </c>
      <c r="BC9" s="142" t="s">
        <v>292</v>
      </c>
      <c r="BD9" s="142" t="s">
        <v>293</v>
      </c>
      <c r="BE9" s="141" t="s">
        <v>294</v>
      </c>
      <c r="BF9" s="141" t="s">
        <v>295</v>
      </c>
      <c r="BG9" s="142" t="s">
        <v>287</v>
      </c>
      <c r="BH9" s="142" t="s">
        <v>288</v>
      </c>
      <c r="BI9" s="142" t="s">
        <v>296</v>
      </c>
      <c r="BJ9" s="141" t="s">
        <v>209</v>
      </c>
      <c r="BK9" s="141" t="s">
        <v>297</v>
      </c>
      <c r="BL9" s="142" t="s">
        <v>178</v>
      </c>
      <c r="BM9" s="142" t="s">
        <v>288</v>
      </c>
      <c r="BN9" s="142" t="s">
        <v>219</v>
      </c>
      <c r="BO9" s="142" t="s">
        <v>298</v>
      </c>
      <c r="BP9" s="142" t="s">
        <v>299</v>
      </c>
      <c r="BQ9" s="142" t="s">
        <v>300</v>
      </c>
      <c r="BR9" s="142" t="s">
        <v>223</v>
      </c>
      <c r="BS9" s="142" t="s">
        <v>224</v>
      </c>
      <c r="BT9" s="142" t="s">
        <v>225</v>
      </c>
      <c r="BU9" s="142" t="s">
        <v>285</v>
      </c>
      <c r="BV9" s="142" t="s">
        <v>286</v>
      </c>
      <c r="BW9" s="142" t="s">
        <v>287</v>
      </c>
      <c r="BX9" s="142" t="s">
        <v>288</v>
      </c>
      <c r="BY9" s="142" t="s">
        <v>296</v>
      </c>
      <c r="BZ9" s="142" t="s">
        <v>301</v>
      </c>
      <c r="CA9" s="142" t="s">
        <v>302</v>
      </c>
      <c r="CB9" s="142" t="s">
        <v>303</v>
      </c>
      <c r="CC9" s="143" t="s">
        <v>304</v>
      </c>
    </row>
    <row r="10" spans="1:82" ht="22.7" customHeight="1" x14ac:dyDescent="0.2">
      <c r="A10" s="236" t="s">
        <v>229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144" t="s">
        <v>305</v>
      </c>
      <c r="AH10" s="144" t="s">
        <v>306</v>
      </c>
      <c r="AI10" s="144" t="s">
        <v>306</v>
      </c>
      <c r="AJ10" s="144" t="s">
        <v>307</v>
      </c>
      <c r="AK10" s="144" t="s">
        <v>308</v>
      </c>
      <c r="AL10" s="144" t="s">
        <v>309</v>
      </c>
      <c r="AM10" s="144" t="s">
        <v>310</v>
      </c>
      <c r="AN10" s="144" t="s">
        <v>311</v>
      </c>
      <c r="AO10" s="144" t="s">
        <v>306</v>
      </c>
      <c r="AP10" s="144"/>
      <c r="AQ10" s="144" t="s">
        <v>306</v>
      </c>
      <c r="AR10" s="144" t="s">
        <v>311</v>
      </c>
      <c r="AS10" s="144" t="s">
        <v>312</v>
      </c>
      <c r="AT10" s="144" t="s">
        <v>313</v>
      </c>
      <c r="AU10" s="144" t="s">
        <v>312</v>
      </c>
      <c r="AV10" s="144"/>
      <c r="AW10" s="144"/>
      <c r="AX10" s="144"/>
      <c r="AY10" s="144"/>
      <c r="AZ10" s="144"/>
      <c r="BA10" s="144" t="s">
        <v>314</v>
      </c>
      <c r="BB10" s="144" t="s">
        <v>310</v>
      </c>
      <c r="BC10" s="144" t="s">
        <v>310</v>
      </c>
      <c r="BD10" s="144" t="s">
        <v>310</v>
      </c>
      <c r="BE10" s="144" t="s">
        <v>315</v>
      </c>
      <c r="BF10" s="144" t="s">
        <v>310</v>
      </c>
      <c r="BG10" s="144"/>
      <c r="BH10" s="144"/>
      <c r="BI10" s="144"/>
      <c r="BJ10" s="144" t="s">
        <v>236</v>
      </c>
      <c r="BK10" s="144" t="s">
        <v>316</v>
      </c>
      <c r="BL10" s="144" t="s">
        <v>239</v>
      </c>
      <c r="BM10" s="144"/>
      <c r="BN10" s="144" t="s">
        <v>241</v>
      </c>
      <c r="BO10" s="144" t="s">
        <v>242</v>
      </c>
      <c r="BP10" s="144" t="s">
        <v>243</v>
      </c>
      <c r="BQ10" s="144" t="s">
        <v>244</v>
      </c>
      <c r="BR10" s="144" t="s">
        <v>245</v>
      </c>
      <c r="BS10" s="144" t="s">
        <v>246</v>
      </c>
      <c r="BT10" s="144" t="s">
        <v>247</v>
      </c>
      <c r="BU10" s="144" t="s">
        <v>248</v>
      </c>
      <c r="BV10" s="144" t="s">
        <v>248</v>
      </c>
      <c r="BW10" s="144" t="s">
        <v>248</v>
      </c>
      <c r="BX10" s="144" t="s">
        <v>248</v>
      </c>
      <c r="BY10" s="144" t="s">
        <v>248</v>
      </c>
      <c r="BZ10" s="144" t="s">
        <v>248</v>
      </c>
      <c r="CA10" s="144" t="s">
        <v>248</v>
      </c>
      <c r="CB10" s="144" t="s">
        <v>248</v>
      </c>
      <c r="CC10" s="145"/>
    </row>
    <row r="11" spans="1:82" ht="18.75" customHeight="1" x14ac:dyDescent="0.25">
      <c r="A11" s="146">
        <v>1</v>
      </c>
      <c r="B11" s="147"/>
      <c r="C11" s="148"/>
      <c r="D11" s="149"/>
      <c r="E11" s="150"/>
      <c r="F11" s="149"/>
      <c r="G11" s="151"/>
      <c r="H11" s="152"/>
      <c r="I11" s="153"/>
      <c r="J11" s="154"/>
      <c r="K11" s="155">
        <f>IF('NOMINA DETALLE COMISION'!E11&gt;0,INT(YEARFRAC('NOMINA DETALLE COMISION'!E11,'NOMINA DETALLE COMISION'!$I$6)),0)</f>
        <v>0</v>
      </c>
      <c r="L11" s="155">
        <v>0</v>
      </c>
      <c r="M11" s="155">
        <f>SUM('NOMINA DETALLE COMISION'!K11:L11)</f>
        <v>0</v>
      </c>
      <c r="N11" s="156">
        <v>0</v>
      </c>
      <c r="O11" s="156" t="e">
        <f>IF(AND('NOMINA DETALLE COMISION'!E11&gt;0,OR(MONTH('NOMINA DETALLE COMISION'!$I$6)=3,MONTH('NOMINA DETALLE COMISION'!$I$6)=6,MONTH('NOMINA DETALLE COMISION'!$I$6)=9,MONTH('NOMINA DETALLE COMISION'!$I$6)=12),MONTH('NOMINA DETALLE COMISION'!E11)&lt;=MONTH('NOMINA DETALLE COMISION'!$I$6),MONTH('NOMINA DETALLE COMISION'!E11)&gt;=MONTH('NOMINA DETALLE COMISION'!$I$6)-2),VLOOKUP(DAYS360('NOMINA DETALLE COMISION'!E11,'NOMINA DETALLE COMISION'!$I$6),#REF!,2),0)</f>
        <v>#REF!</v>
      </c>
      <c r="P11" s="155"/>
      <c r="Q11" s="155"/>
      <c r="R11" s="155">
        <v>0</v>
      </c>
      <c r="S11" s="155"/>
      <c r="T11" s="155"/>
      <c r="U11" s="155">
        <v>0</v>
      </c>
      <c r="V11" s="155">
        <v>0</v>
      </c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4">
        <f>IF(AND('NOMINA DETALLE COMISION'!J11&gt;0,'NOMINA DETALLE COMISION'!E11&gt;0),'NOMINA DETALLE COMISION'!J11,0)</f>
        <v>0</v>
      </c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>
        <f>'NOMINA DETALLE COMISION'!AS6*3</f>
        <v>0</v>
      </c>
      <c r="AT11" s="154">
        <f>'NOMINA DETALLE COMISION'!$AT$6*'1.DATOS'!$D$10*'NOMINA DETALLE COMISION'!U11</f>
        <v>0</v>
      </c>
      <c r="AU11" s="154">
        <f>'1.DATOS'!D10*'NOMINA DETALLE COMISION'!AU6</f>
        <v>0</v>
      </c>
      <c r="AV11" s="154"/>
      <c r="AW11" s="154"/>
      <c r="AX11" s="154"/>
      <c r="AY11" s="154"/>
      <c r="AZ11" s="154"/>
      <c r="BA11" s="154">
        <v>0</v>
      </c>
      <c r="BB11" s="154">
        <v>0</v>
      </c>
      <c r="BC11" s="154">
        <f>ROUNDUP((('NOMINA DETALLE COMISION'!AH11+'NOMINA DETALLE COMISION'!AL11+'NOMINA DETALLE COMISION'!AM11)/30*530/360)*'NOMINA DETALLE COMISION'!$BC$6,2)</f>
        <v>0</v>
      </c>
      <c r="BD11" s="154">
        <f>ROUNDUP((('NOMINA DETALLE COMISION'!AH11+'NOMINA DETALLE COMISION'!AL11+'NOMINA DETALLE COMISION'!AM11)/30*530/360)*'NOMINA DETALLE COMISION'!$BD$6,2)</f>
        <v>0</v>
      </c>
      <c r="BE11" s="154">
        <f>IF('NOMINA DETALLE COMISION'!AG11&gt;0,ROUND('NOMINA DETALLE COMISION'!$BE$6*'NOMINA DETALLE COMISION'!Q11*'1.DATOS'!$C$10,0),0)</f>
        <v>0</v>
      </c>
      <c r="BF11" s="154">
        <v>0</v>
      </c>
      <c r="BG11" s="154">
        <v>0</v>
      </c>
      <c r="BH11" s="154">
        <v>0</v>
      </c>
      <c r="BI11" s="154">
        <v>0</v>
      </c>
      <c r="BJ11" s="154">
        <f>IF('NOMINA DETALLE COMISION'!AG11&gt;0,ROUND(SUM('NOMINA DETALLE COMISION'!AG11:AH11)*'NOMINA DETALLE COMISION'!$BJ$6,0),0)</f>
        <v>0</v>
      </c>
      <c r="BK11" s="154">
        <v>0</v>
      </c>
      <c r="BL11" s="154" t="e">
        <f>ROUND((SUM('NOMINA DETALLE COMISION'!AG11:AN11)*(30+'NOMINA DETALLE COMISION'!$AZ$6/12+((30+'NOMINA DETALLE COMISION'!$AZ$6/12)/30*'NOMINA DETALLE COMISION'!$BA$6)/12)/30)/30*'NOMINA DETALLE COMISION'!O11,0)</f>
        <v>#REF!</v>
      </c>
      <c r="BM11" s="154">
        <v>0</v>
      </c>
      <c r="BN11" s="154">
        <v>0</v>
      </c>
      <c r="BO11" s="154">
        <v>0</v>
      </c>
      <c r="BP11" s="154">
        <v>0</v>
      </c>
      <c r="BQ11" s="154">
        <v>0</v>
      </c>
      <c r="BR11" s="154">
        <v>0</v>
      </c>
      <c r="BS11" s="154">
        <v>0</v>
      </c>
      <c r="BT11" s="154">
        <v>0</v>
      </c>
      <c r="BU11" s="154">
        <v>0</v>
      </c>
      <c r="BV11" s="154">
        <v>0</v>
      </c>
      <c r="BW11" s="154">
        <v>0</v>
      </c>
      <c r="BX11" s="154">
        <v>0</v>
      </c>
      <c r="BY11" s="154">
        <v>0</v>
      </c>
      <c r="BZ11" s="154">
        <v>0</v>
      </c>
      <c r="CA11" s="154">
        <v>0</v>
      </c>
      <c r="CB11" s="154">
        <v>0</v>
      </c>
      <c r="CC11" s="157" t="e">
        <f>SUM('NOMINA DETALLE COMISION'!AG11:CB11)</f>
        <v>#REF!</v>
      </c>
      <c r="CD11" s="158"/>
    </row>
    <row r="12" spans="1:82" ht="15" x14ac:dyDescent="0.25">
      <c r="A12" s="237" t="s">
        <v>130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</row>
    <row r="13" spans="1:82" ht="15.75" x14ac:dyDescent="0.2">
      <c r="A13" s="159"/>
      <c r="B13" s="159"/>
      <c r="C13" s="159"/>
      <c r="D13" s="159"/>
      <c r="E13" s="159"/>
      <c r="F13" s="159"/>
      <c r="G13" s="160"/>
      <c r="H13" s="160"/>
      <c r="I13" s="160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2"/>
      <c r="BF13" s="162"/>
      <c r="BG13" s="162"/>
      <c r="BH13" s="162"/>
      <c r="BI13" s="162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</row>
    <row r="14" spans="1:82" x14ac:dyDescent="0.2"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82" x14ac:dyDescent="0.2"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82" ht="31.7" customHeight="1" x14ac:dyDescent="0.25">
      <c r="I16" s="110" t="s">
        <v>317</v>
      </c>
      <c r="J16" s="164">
        <v>1</v>
      </c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65">
        <f>SUBTOTAL(9,'NOMINA DETALLE COMISION'!AG11:AG12)</f>
        <v>0</v>
      </c>
      <c r="AH16" s="165">
        <f>SUBTOTAL(9,'NOMINA DETALLE COMISION'!AH11:AH12)</f>
        <v>0</v>
      </c>
      <c r="AI16" s="165">
        <f>SUBTOTAL(9,'NOMINA DETALLE COMISION'!AI11:AI12)</f>
        <v>0</v>
      </c>
      <c r="AJ16" s="165">
        <f>SUBTOTAL(9,'NOMINA DETALLE COMISION'!AJ11:AJ12)</f>
        <v>0</v>
      </c>
      <c r="AK16" s="165">
        <f>SUBTOTAL(9,'NOMINA DETALLE COMISION'!AK11:AK12)</f>
        <v>0</v>
      </c>
      <c r="AL16" s="165">
        <f>SUBTOTAL(9,'NOMINA DETALLE COMISION'!AL11:AL12)</f>
        <v>0</v>
      </c>
      <c r="AM16" s="165">
        <f>SUBTOTAL(9,'NOMINA DETALLE COMISION'!AM11:AM12)</f>
        <v>0</v>
      </c>
      <c r="AN16" s="165">
        <f>SUBTOTAL(9,'NOMINA DETALLE COMISION'!AN11:AN12)</f>
        <v>0</v>
      </c>
      <c r="AO16" s="165">
        <f>SUBTOTAL(9,'NOMINA DETALLE COMISION'!AO11:AO12)</f>
        <v>0</v>
      </c>
      <c r="AP16" s="165">
        <f>SUBTOTAL(9,'NOMINA DETALLE COMISION'!AP11:AP12)</f>
        <v>0</v>
      </c>
      <c r="AQ16" s="165">
        <f>SUBTOTAL(9,'NOMINA DETALLE COMISION'!AQ11:AQ12)</f>
        <v>0</v>
      </c>
      <c r="AR16" s="165">
        <f>SUBTOTAL(9,'NOMINA DETALLE COMISION'!AR11:AR12)</f>
        <v>0</v>
      </c>
      <c r="AS16" s="165">
        <f>SUBTOTAL(9,'NOMINA DETALLE COMISION'!AS11:AS12)</f>
        <v>0</v>
      </c>
      <c r="AT16" s="165">
        <f>SUBTOTAL(9,'NOMINA DETALLE COMISION'!AT11:AT12)</f>
        <v>0</v>
      </c>
      <c r="AU16" s="165">
        <f>SUBTOTAL(9,'NOMINA DETALLE COMISION'!AU11:AU12)</f>
        <v>0</v>
      </c>
      <c r="AV16" s="165">
        <f>SUBTOTAL(9,'NOMINA DETALLE COMISION'!AV11:AV12)</f>
        <v>0</v>
      </c>
      <c r="AW16" s="165">
        <f>SUBTOTAL(9,'NOMINA DETALLE COMISION'!AW11:AW12)</f>
        <v>0</v>
      </c>
      <c r="AX16" s="165">
        <f>SUBTOTAL(9,'NOMINA DETALLE COMISION'!AX11:AX12)</f>
        <v>0</v>
      </c>
      <c r="AY16" s="165">
        <f>SUBTOTAL(9,'NOMINA DETALLE COMISION'!AY11:AY12)</f>
        <v>0</v>
      </c>
      <c r="AZ16" s="165">
        <f>SUBTOTAL(9,'NOMINA DETALLE COMISION'!AZ11:AZ12)</f>
        <v>0</v>
      </c>
      <c r="BA16" s="165">
        <f>SUBTOTAL(9,'NOMINA DETALLE COMISION'!BA11:BA12)</f>
        <v>0</v>
      </c>
      <c r="BB16" s="165">
        <f>SUBTOTAL(9,'NOMINA DETALLE COMISION'!BB11:BB12)</f>
        <v>0</v>
      </c>
      <c r="BC16" s="165">
        <f>SUBTOTAL(9,'NOMINA DETALLE COMISION'!BC11:BC12)</f>
        <v>0</v>
      </c>
      <c r="BD16" s="165">
        <f>SUBTOTAL(9,'NOMINA DETALLE COMISION'!BD11:BD12)</f>
        <v>0</v>
      </c>
      <c r="BE16" s="165">
        <f>SUBTOTAL(9,'NOMINA DETALLE COMISION'!BE11:BE12)</f>
        <v>0</v>
      </c>
      <c r="BF16" s="165">
        <f>SUBTOTAL(9,'NOMINA DETALLE COMISION'!BF11:BF12)</f>
        <v>0</v>
      </c>
      <c r="BG16" s="165">
        <f>SUBTOTAL(9,'NOMINA DETALLE COMISION'!BG11:BG12)</f>
        <v>0</v>
      </c>
      <c r="BH16" s="165">
        <f>SUBTOTAL(9,'NOMINA DETALLE COMISION'!BH11:BH12)</f>
        <v>0</v>
      </c>
      <c r="BI16" s="165">
        <f>SUBTOTAL(9,'NOMINA DETALLE COMISION'!BI11:BI12)</f>
        <v>0</v>
      </c>
      <c r="BJ16" s="165">
        <f>SUBTOTAL(9,'NOMINA DETALLE COMISION'!BJ11:BJ12)</f>
        <v>0</v>
      </c>
      <c r="BK16" s="165">
        <f>SUBTOTAL(9,'NOMINA DETALLE COMISION'!BK11:BK12)</f>
        <v>0</v>
      </c>
      <c r="BL16" s="165" t="e">
        <f>SUBTOTAL(9,'NOMINA DETALLE COMISION'!BL11:BL12)</f>
        <v>#REF!</v>
      </c>
      <c r="BM16" s="165">
        <f>SUBTOTAL(9,'NOMINA DETALLE COMISION'!BM11:BM12)</f>
        <v>0</v>
      </c>
      <c r="BN16" s="165">
        <f>SUBTOTAL(9,'NOMINA DETALLE COMISION'!BN11:BN12)</f>
        <v>0</v>
      </c>
      <c r="BO16" s="165">
        <f>SUBTOTAL(9,'NOMINA DETALLE COMISION'!BO11:BO12)</f>
        <v>0</v>
      </c>
      <c r="BP16" s="165">
        <f>SUBTOTAL(9,'NOMINA DETALLE COMISION'!BP11:BP12)</f>
        <v>0</v>
      </c>
      <c r="BQ16" s="165">
        <f>SUBTOTAL(9,'NOMINA DETALLE COMISION'!BQ11:BQ12)</f>
        <v>0</v>
      </c>
      <c r="BR16" s="165">
        <f>SUBTOTAL(9,'NOMINA DETALLE COMISION'!BR11:BR12)</f>
        <v>0</v>
      </c>
      <c r="BS16" s="165">
        <f>SUBTOTAL(9,'NOMINA DETALLE COMISION'!BS11:BS12)</f>
        <v>0</v>
      </c>
      <c r="BT16" s="165">
        <f>SUBTOTAL(9,'NOMINA DETALLE COMISION'!BT11:BT12)</f>
        <v>0</v>
      </c>
      <c r="BU16" s="165">
        <f>SUBTOTAL(9,'NOMINA DETALLE COMISION'!BU11:BU12)</f>
        <v>0</v>
      </c>
      <c r="BV16" s="165">
        <f>SUBTOTAL(9,'NOMINA DETALLE COMISION'!BV11:BV12)</f>
        <v>0</v>
      </c>
      <c r="BW16" s="165">
        <f>SUBTOTAL(9,'NOMINA DETALLE COMISION'!BW11:BW12)</f>
        <v>0</v>
      </c>
      <c r="BX16" s="165">
        <f>SUBTOTAL(9,'NOMINA DETALLE COMISION'!BX11:BX12)</f>
        <v>0</v>
      </c>
      <c r="BY16" s="165">
        <f>SUBTOTAL(9,'NOMINA DETALLE COMISION'!BY11:BY12)</f>
        <v>0</v>
      </c>
      <c r="BZ16" s="165">
        <f>SUBTOTAL(9,'NOMINA DETALLE COMISION'!BZ11:BZ12)</f>
        <v>0</v>
      </c>
      <c r="CA16" s="165">
        <f>SUBTOTAL(9,'NOMINA DETALLE COMISION'!CA11:CA12)</f>
        <v>0</v>
      </c>
      <c r="CB16" s="165">
        <f>SUBTOTAL(9,'NOMINA DETALLE COMISION'!CB11:CB12)</f>
        <v>0</v>
      </c>
      <c r="CC16" s="166" t="e">
        <f>SUBTOTAL(9,'NOMINA DETALLE COMISION'!CC11:CC12)</f>
        <v>#REF!</v>
      </c>
    </row>
    <row r="17" spans="40:40" x14ac:dyDescent="0.2">
      <c r="AN17"/>
    </row>
    <row r="18" spans="40:40" x14ac:dyDescent="0.2">
      <c r="AN18"/>
    </row>
    <row r="19" spans="40:40" x14ac:dyDescent="0.2">
      <c r="AN19"/>
    </row>
    <row r="20" spans="40:40" x14ac:dyDescent="0.2">
      <c r="AN20"/>
    </row>
    <row r="21" spans="40:40" x14ac:dyDescent="0.2">
      <c r="AN21"/>
    </row>
    <row r="22" spans="40:40" x14ac:dyDescent="0.2">
      <c r="AN22" s="167">
        <f>'NOMINA DETALLE COMISION'!AO16-98008.45</f>
        <v>-98008.45</v>
      </c>
    </row>
  </sheetData>
  <mergeCells count="15">
    <mergeCell ref="A8:J8"/>
    <mergeCell ref="K8:O8"/>
    <mergeCell ref="P8:AF8"/>
    <mergeCell ref="A10:AF10"/>
    <mergeCell ref="A12:CC12"/>
    <mergeCell ref="BE7:BI7"/>
    <mergeCell ref="BJ7:BM7"/>
    <mergeCell ref="BN7:BT7"/>
    <mergeCell ref="BU7:CB7"/>
    <mergeCell ref="CC7:CC8"/>
    <mergeCell ref="H5:H6"/>
    <mergeCell ref="AG7:AP7"/>
    <mergeCell ref="AQ7:AU7"/>
    <mergeCell ref="AV7:AY7"/>
    <mergeCell ref="AZ7:BD7"/>
  </mergeCells>
  <dataValidations count="4">
    <dataValidation type="list" operator="equal" allowBlank="1" showInputMessage="1" showErrorMessage="1" sqref="D11">
      <formula1>GENERO</formula1>
      <formula2>0</formula2>
    </dataValidation>
    <dataValidation operator="equal" allowBlank="1" showInputMessage="1" showErrorMessage="1" sqref="F11">
      <formula1>0</formula1>
      <formula2>0</formula2>
    </dataValidation>
    <dataValidation type="list" operator="equal" allowBlank="1" showInputMessage="1" showErrorMessage="1" sqref="H11">
      <formula1>COMISION</formula1>
      <formula2>0</formula2>
    </dataValidation>
    <dataValidation type="list" operator="equal" allowBlank="1" showInputMessage="1" showErrorMessage="1" sqref="I11">
      <formula1>CARGOS</formula1>
      <formula2>0</formula2>
    </dataValidation>
  </dataValidations>
  <pageMargins left="0.31527777777777799" right="0.39374999999999999" top="0.74791666666666701" bottom="0.47222222222222199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AMJ15"/>
  <sheetViews>
    <sheetView showGridLines="0" topLeftCell="AW1" zoomScale="60" zoomScaleNormal="60" workbookViewId="0">
      <selection activeCell="BI6" sqref="BI6"/>
    </sheetView>
  </sheetViews>
  <sheetFormatPr baseColWidth="10" defaultColWidth="9.140625" defaultRowHeight="12.75" x14ac:dyDescent="0.2"/>
  <cols>
    <col min="1" max="1" width="7.85546875" style="53" customWidth="1"/>
    <col min="2" max="2" width="19.5703125" style="53" customWidth="1"/>
    <col min="3" max="3" width="20.5703125" style="53" customWidth="1"/>
    <col min="4" max="4" width="22.42578125" style="53" customWidth="1"/>
    <col min="5" max="5" width="13" style="53" customWidth="1"/>
    <col min="6" max="6" width="15.42578125" style="54" customWidth="1"/>
    <col min="7" max="7" width="21.42578125" style="54" customWidth="1"/>
    <col min="8" max="8" width="32.28515625" style="54" customWidth="1"/>
    <col min="9" max="9" width="24.7109375" style="54" customWidth="1"/>
    <col min="10" max="11" width="18.140625" style="54" customWidth="1"/>
    <col min="12" max="12" width="15.85546875" style="54" customWidth="1"/>
    <col min="13" max="13" width="13.140625" style="54" customWidth="1"/>
    <col min="14" max="14" width="12.7109375" style="54" customWidth="1"/>
    <col min="15" max="23" width="15.28515625" style="54" customWidth="1"/>
    <col min="24" max="24" width="19.5703125" style="54" customWidth="1"/>
    <col min="25" max="25" width="15.5703125" style="55" customWidth="1"/>
    <col min="26" max="33" width="16.5703125" style="55" customWidth="1"/>
    <col min="34" max="36" width="23.85546875" style="55" customWidth="1"/>
    <col min="37" max="38" width="17.85546875" style="55" customWidth="1"/>
    <col min="39" max="39" width="20.140625" style="55" customWidth="1"/>
    <col min="40" max="40" width="21.5703125" style="55" customWidth="1"/>
    <col min="41" max="41" width="19.140625" style="55" customWidth="1"/>
    <col min="42" max="42" width="20.140625" style="55" customWidth="1"/>
    <col min="43" max="43" width="21.5703125" style="55" customWidth="1"/>
    <col min="44" max="44" width="19.140625" style="55" customWidth="1"/>
    <col min="45" max="46" width="21.42578125" style="55" customWidth="1"/>
    <col min="47" max="47" width="22.42578125" style="55" customWidth="1"/>
    <col min="48" max="48" width="21.42578125" style="55" customWidth="1"/>
    <col min="49" max="54" width="12.42578125" style="54" customWidth="1"/>
    <col min="55" max="55" width="20" style="54" customWidth="1"/>
    <col min="56" max="56" width="17.140625" style="54" customWidth="1"/>
    <col min="57" max="57" width="16.28515625" style="54" customWidth="1"/>
    <col min="58" max="58" width="14.85546875" style="54" customWidth="1"/>
    <col min="59" max="59" width="15.7109375" style="54" customWidth="1"/>
    <col min="60" max="60" width="12.42578125" style="54" customWidth="1"/>
    <col min="61" max="62" width="16.5703125" style="54" customWidth="1"/>
    <col min="63" max="65" width="12.42578125" style="54" customWidth="1"/>
    <col min="66" max="66" width="15.7109375" style="54" customWidth="1"/>
    <col min="67" max="70" width="12.42578125" style="54" customWidth="1"/>
    <col min="71" max="71" width="17.7109375" style="54" customWidth="1"/>
    <col min="72" max="72" width="22.42578125" style="54" customWidth="1"/>
    <col min="73" max="73" width="13.42578125" style="54" customWidth="1"/>
    <col min="74" max="74" width="10.5703125" style="54" customWidth="1"/>
    <col min="75" max="1001" width="9.5703125" style="54" customWidth="1"/>
    <col min="1002" max="1025" width="8.5703125" customWidth="1"/>
  </cols>
  <sheetData>
    <row r="1" spans="1:1024" ht="33" customHeight="1" x14ac:dyDescent="0.2">
      <c r="A1" s="5" t="s">
        <v>318</v>
      </c>
      <c r="B1" s="5"/>
      <c r="C1" s="5"/>
      <c r="D1" s="5"/>
      <c r="E1" s="5"/>
      <c r="F1" s="5"/>
      <c r="G1" s="4" t="s">
        <v>51</v>
      </c>
      <c r="H1" s="3">
        <f>+'1.DATOS'!F4</f>
        <v>43373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 s="2" t="s">
        <v>132</v>
      </c>
      <c r="AC1" s="2"/>
      <c r="AD1" s="57" t="s">
        <v>133</v>
      </c>
      <c r="AE1" s="57" t="s">
        <v>133</v>
      </c>
      <c r="AF1" s="57" t="s">
        <v>133</v>
      </c>
      <c r="AG1" s="1" t="s">
        <v>134</v>
      </c>
      <c r="AH1" s="1"/>
      <c r="AI1" s="57" t="s">
        <v>133</v>
      </c>
      <c r="AJ1" s="1" t="s">
        <v>134</v>
      </c>
      <c r="AK1" s="1"/>
      <c r="AL1" s="1"/>
      <c r="AM1" s="58"/>
      <c r="AN1" s="58"/>
      <c r="AO1" s="58"/>
      <c r="AP1" s="58"/>
      <c r="AQ1" s="209"/>
      <c r="AR1" s="1" t="s">
        <v>134</v>
      </c>
      <c r="AS1" s="1"/>
      <c r="AT1" s="1"/>
      <c r="AU1" s="57" t="s">
        <v>135</v>
      </c>
      <c r="AV1" s="57" t="s">
        <v>135</v>
      </c>
      <c r="AW1" s="1" t="s">
        <v>134</v>
      </c>
      <c r="AX1" s="1"/>
      <c r="AY1" s="1"/>
      <c r="AZ1" s="1"/>
      <c r="BA1" s="1"/>
      <c r="BB1" s="1"/>
      <c r="BC1"/>
      <c r="BD1" s="57" t="s">
        <v>133</v>
      </c>
      <c r="BE1" s="57" t="s">
        <v>133</v>
      </c>
      <c r="BF1" s="57" t="s">
        <v>133</v>
      </c>
      <c r="BG1" s="57" t="s">
        <v>133</v>
      </c>
      <c r="BH1" s="57" t="s">
        <v>133</v>
      </c>
      <c r="BI1" s="57"/>
      <c r="BJ1" s="57" t="s">
        <v>136</v>
      </c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</row>
    <row r="2" spans="1:1024" ht="27.95" customHeight="1" x14ac:dyDescent="0.2">
      <c r="A2" s="5"/>
      <c r="B2" s="5"/>
      <c r="C2" s="5"/>
      <c r="D2" s="5"/>
      <c r="E2" s="5"/>
      <c r="F2" s="5"/>
      <c r="G2" s="4"/>
      <c r="H2" s="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 s="210" t="s">
        <v>137</v>
      </c>
      <c r="AC2" s="210"/>
      <c r="AD2" s="60">
        <v>200</v>
      </c>
      <c r="AE2" s="60">
        <v>300</v>
      </c>
      <c r="AF2" s="60">
        <v>50</v>
      </c>
      <c r="AG2" s="1"/>
      <c r="AH2" s="1"/>
      <c r="AI2" s="60">
        <v>50</v>
      </c>
      <c r="AJ2" s="1"/>
      <c r="AK2" s="1"/>
      <c r="AL2" s="1"/>
      <c r="AM2" s="58"/>
      <c r="AN2" s="58"/>
      <c r="AO2" s="58"/>
      <c r="AP2" s="58"/>
      <c r="AQ2" s="209"/>
      <c r="AR2" s="1"/>
      <c r="AS2" s="1"/>
      <c r="AT2" s="1"/>
      <c r="AU2" s="60">
        <v>105</v>
      </c>
      <c r="AV2" s="60">
        <v>120</v>
      </c>
      <c r="AW2" s="1"/>
      <c r="AX2" s="1"/>
      <c r="AY2" s="1"/>
      <c r="AZ2" s="1"/>
      <c r="BA2" s="1"/>
      <c r="BB2" s="1"/>
      <c r="BC2"/>
      <c r="BD2" s="60">
        <v>50</v>
      </c>
      <c r="BE2" s="60">
        <v>200</v>
      </c>
      <c r="BF2" s="60">
        <v>100</v>
      </c>
      <c r="BG2" s="60">
        <v>300</v>
      </c>
      <c r="BH2" s="60">
        <v>100</v>
      </c>
      <c r="BI2" s="60"/>
      <c r="BJ2" s="61">
        <v>0.4</v>
      </c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</row>
    <row r="3" spans="1:1024" ht="30.75" customHeight="1" x14ac:dyDescent="0.25">
      <c r="A3" s="5"/>
      <c r="B3" s="5"/>
      <c r="C3" s="5"/>
      <c r="D3" s="5"/>
      <c r="E3" s="5"/>
      <c r="F3" s="5"/>
      <c r="G3" s="4"/>
      <c r="H3" s="3"/>
      <c r="Y3" s="54"/>
      <c r="Z3" s="54"/>
      <c r="AA3" s="54"/>
      <c r="AB3" s="211" t="s">
        <v>138</v>
      </c>
      <c r="AC3" s="211"/>
      <c r="AD3" s="62" t="s">
        <v>139</v>
      </c>
      <c r="AE3" s="62" t="s">
        <v>140</v>
      </c>
      <c r="AF3" s="62" t="s">
        <v>141</v>
      </c>
      <c r="AG3" s="62" t="s">
        <v>142</v>
      </c>
      <c r="AH3" s="62" t="s">
        <v>143</v>
      </c>
      <c r="AI3" s="62" t="s">
        <v>144</v>
      </c>
      <c r="AJ3" s="62" t="s">
        <v>145</v>
      </c>
      <c r="AK3" s="62" t="s">
        <v>146</v>
      </c>
      <c r="AL3" s="62" t="s">
        <v>147</v>
      </c>
      <c r="AM3" s="63"/>
      <c r="AN3" s="63"/>
      <c r="AO3" s="63"/>
      <c r="AP3" s="63"/>
      <c r="AQ3" s="209"/>
      <c r="AR3" s="62" t="s">
        <v>148</v>
      </c>
      <c r="AS3" s="62"/>
      <c r="AT3" s="62" t="s">
        <v>148</v>
      </c>
      <c r="AU3" s="62" t="s">
        <v>149</v>
      </c>
      <c r="AV3" s="62" t="s">
        <v>150</v>
      </c>
      <c r="AW3" s="62" t="s">
        <v>148</v>
      </c>
      <c r="AX3" s="62" t="s">
        <v>148</v>
      </c>
      <c r="AY3" s="62" t="s">
        <v>148</v>
      </c>
      <c r="AZ3" s="62" t="s">
        <v>148</v>
      </c>
      <c r="BA3" s="62" t="s">
        <v>148</v>
      </c>
      <c r="BB3" s="62" t="s">
        <v>148</v>
      </c>
      <c r="BC3"/>
      <c r="BD3" s="62" t="s">
        <v>151</v>
      </c>
      <c r="BE3" s="62" t="s">
        <v>152</v>
      </c>
      <c r="BF3" s="62" t="s">
        <v>153</v>
      </c>
      <c r="BG3" s="62" t="s">
        <v>154</v>
      </c>
      <c r="BH3" s="62" t="s">
        <v>155</v>
      </c>
      <c r="BI3" s="62"/>
      <c r="BJ3" s="62" t="s">
        <v>148</v>
      </c>
      <c r="BK3" s="238"/>
      <c r="BL3" s="238"/>
      <c r="BM3" s="238"/>
      <c r="BN3" s="238"/>
      <c r="BO3" s="238"/>
      <c r="BP3" s="238"/>
      <c r="BQ3" s="238"/>
      <c r="BR3" s="238"/>
      <c r="BS3" s="238"/>
      <c r="BT3" s="168"/>
      <c r="ALN3" s="54"/>
      <c r="ALO3" s="54"/>
      <c r="ALP3" s="54"/>
      <c r="ALQ3" s="54"/>
      <c r="ALR3" s="54"/>
      <c r="ALS3" s="54"/>
      <c r="ALT3" s="54"/>
      <c r="ALU3" s="54"/>
      <c r="ALV3" s="54"/>
      <c r="ALW3" s="54"/>
    </row>
    <row r="4" spans="1:1024" ht="49.5" customHeight="1" x14ac:dyDescent="0.25">
      <c r="A4" s="212" t="s">
        <v>156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 t="s">
        <v>157</v>
      </c>
      <c r="M4" s="213"/>
      <c r="N4" s="213"/>
      <c r="O4" s="213"/>
      <c r="P4" s="213"/>
      <c r="Q4" s="212" t="s">
        <v>158</v>
      </c>
      <c r="R4" s="212"/>
      <c r="S4" s="212"/>
      <c r="T4" s="212"/>
      <c r="U4" s="212"/>
      <c r="V4" s="212"/>
      <c r="W4" s="212"/>
      <c r="X4" s="212"/>
      <c r="Y4" s="209" t="s">
        <v>102</v>
      </c>
      <c r="Z4" s="209"/>
      <c r="AA4" s="209"/>
      <c r="AB4" s="209"/>
      <c r="AC4" s="209"/>
      <c r="AD4" s="214" t="s">
        <v>159</v>
      </c>
      <c r="AE4" s="214"/>
      <c r="AF4" s="214"/>
      <c r="AG4" s="214"/>
      <c r="AH4" s="214"/>
      <c r="AI4" s="214"/>
      <c r="AJ4" s="214"/>
      <c r="AK4" s="214"/>
      <c r="AL4" s="214"/>
      <c r="AM4" s="64"/>
      <c r="AN4" s="64"/>
      <c r="AO4" s="64"/>
      <c r="AP4" s="64"/>
      <c r="AQ4" s="209" t="s">
        <v>160</v>
      </c>
      <c r="AR4" s="239" t="s">
        <v>253</v>
      </c>
      <c r="AS4" s="239"/>
      <c r="AT4" s="239"/>
      <c r="AU4" s="240" t="s">
        <v>255</v>
      </c>
      <c r="AV4" s="240"/>
      <c r="AW4" s="217" t="s">
        <v>12</v>
      </c>
      <c r="AX4" s="217"/>
      <c r="AY4" s="217"/>
      <c r="AZ4" s="217"/>
      <c r="BA4" s="217"/>
      <c r="BB4" s="217"/>
      <c r="BC4" s="217"/>
      <c r="BD4" s="218" t="s">
        <v>163</v>
      </c>
      <c r="BE4" s="218"/>
      <c r="BF4" s="218"/>
      <c r="BG4" s="218"/>
      <c r="BH4" s="218"/>
      <c r="BI4" s="218"/>
      <c r="BJ4" s="218"/>
      <c r="BK4" s="219" t="s">
        <v>164</v>
      </c>
      <c r="BL4" s="219"/>
      <c r="BM4" s="219"/>
      <c r="BN4" s="219"/>
      <c r="BO4" s="219"/>
      <c r="BP4" s="219"/>
      <c r="BQ4" s="219"/>
      <c r="BR4" s="220" t="s">
        <v>165</v>
      </c>
      <c r="BS4" s="220"/>
      <c r="BT4" s="65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</row>
    <row r="5" spans="1:1024" s="75" customFormat="1" ht="128.25" customHeight="1" x14ac:dyDescent="0.2">
      <c r="A5" s="66" t="s">
        <v>98</v>
      </c>
      <c r="B5" s="67" t="s">
        <v>166</v>
      </c>
      <c r="C5" s="67" t="s">
        <v>167</v>
      </c>
      <c r="D5" s="67" t="s">
        <v>168</v>
      </c>
      <c r="E5" s="66" t="s">
        <v>169</v>
      </c>
      <c r="F5" s="66" t="s">
        <v>170</v>
      </c>
      <c r="G5" s="66" t="s">
        <v>21</v>
      </c>
      <c r="H5" s="66" t="s">
        <v>171</v>
      </c>
      <c r="I5" s="66" t="s">
        <v>70</v>
      </c>
      <c r="J5" s="66" t="s">
        <v>172</v>
      </c>
      <c r="K5" s="66" t="s">
        <v>173</v>
      </c>
      <c r="L5" s="66" t="s">
        <v>174</v>
      </c>
      <c r="M5" s="66" t="s">
        <v>175</v>
      </c>
      <c r="N5" s="66" t="s">
        <v>176</v>
      </c>
      <c r="O5" s="66" t="s">
        <v>177</v>
      </c>
      <c r="P5" s="66" t="s">
        <v>178</v>
      </c>
      <c r="Q5" s="66" t="s">
        <v>319</v>
      </c>
      <c r="R5" s="66" t="s">
        <v>320</v>
      </c>
      <c r="S5" s="66" t="s">
        <v>321</v>
      </c>
      <c r="T5" s="66" t="s">
        <v>182</v>
      </c>
      <c r="U5" s="66" t="s">
        <v>183</v>
      </c>
      <c r="V5" s="66" t="s">
        <v>184</v>
      </c>
      <c r="W5" s="66" t="s">
        <v>185</v>
      </c>
      <c r="X5" s="66" t="s">
        <v>267</v>
      </c>
      <c r="Y5" s="68" t="s">
        <v>322</v>
      </c>
      <c r="Z5" s="68" t="s">
        <v>323</v>
      </c>
      <c r="AA5" s="68" t="s">
        <v>324</v>
      </c>
      <c r="AB5" s="68" t="s">
        <v>325</v>
      </c>
      <c r="AC5" s="68" t="s">
        <v>326</v>
      </c>
      <c r="AD5" s="69" t="s">
        <v>192</v>
      </c>
      <c r="AE5" s="69" t="s">
        <v>193</v>
      </c>
      <c r="AF5" s="69" t="s">
        <v>194</v>
      </c>
      <c r="AG5" s="69" t="s">
        <v>18</v>
      </c>
      <c r="AH5" s="69" t="s">
        <v>195</v>
      </c>
      <c r="AI5" s="69" t="s">
        <v>196</v>
      </c>
      <c r="AJ5" s="69" t="s">
        <v>197</v>
      </c>
      <c r="AK5" s="69" t="s">
        <v>198</v>
      </c>
      <c r="AL5" s="69" t="s">
        <v>199</v>
      </c>
      <c r="AM5" s="69" t="s">
        <v>327</v>
      </c>
      <c r="AN5" s="69" t="s">
        <v>327</v>
      </c>
      <c r="AO5" s="69" t="s">
        <v>327</v>
      </c>
      <c r="AP5" s="69" t="s">
        <v>200</v>
      </c>
      <c r="AQ5" s="209"/>
      <c r="AR5" s="70" t="s">
        <v>328</v>
      </c>
      <c r="AS5" s="70" t="s">
        <v>329</v>
      </c>
      <c r="AT5" s="70" t="s">
        <v>330</v>
      </c>
      <c r="AU5" s="69" t="s">
        <v>331</v>
      </c>
      <c r="AV5" s="69" t="s">
        <v>332</v>
      </c>
      <c r="AW5" s="70" t="s">
        <v>333</v>
      </c>
      <c r="AX5" s="70" t="s">
        <v>334</v>
      </c>
      <c r="AY5" s="70" t="s">
        <v>335</v>
      </c>
      <c r="AZ5" s="70" t="s">
        <v>336</v>
      </c>
      <c r="BA5" s="70" t="s">
        <v>337</v>
      </c>
      <c r="BB5" s="70" t="s">
        <v>338</v>
      </c>
      <c r="BC5" s="70" t="s">
        <v>339</v>
      </c>
      <c r="BD5" s="71" t="s">
        <v>213</v>
      </c>
      <c r="BE5" s="71" t="s">
        <v>214</v>
      </c>
      <c r="BF5" s="71" t="s">
        <v>215</v>
      </c>
      <c r="BG5" s="71" t="s">
        <v>216</v>
      </c>
      <c r="BH5" s="71" t="s">
        <v>217</v>
      </c>
      <c r="BI5" s="71" t="s">
        <v>340</v>
      </c>
      <c r="BJ5" s="71" t="s">
        <v>218</v>
      </c>
      <c r="BK5" s="72" t="s">
        <v>219</v>
      </c>
      <c r="BL5" s="72" t="s">
        <v>298</v>
      </c>
      <c r="BM5" s="72" t="s">
        <v>299</v>
      </c>
      <c r="BN5" s="72" t="s">
        <v>222</v>
      </c>
      <c r="BO5" s="72" t="s">
        <v>223</v>
      </c>
      <c r="BP5" s="72" t="s">
        <v>224</v>
      </c>
      <c r="BQ5" s="72" t="s">
        <v>225</v>
      </c>
      <c r="BR5" s="72" t="s">
        <v>226</v>
      </c>
      <c r="BS5" s="72" t="s">
        <v>227</v>
      </c>
      <c r="BT5" s="73" t="s">
        <v>304</v>
      </c>
      <c r="BU5" s="74"/>
      <c r="BV5" s="74"/>
      <c r="ALN5" s="74"/>
      <c r="ALO5" s="74"/>
      <c r="ALP5" s="74"/>
      <c r="ALQ5" s="74"/>
      <c r="ALR5" s="74"/>
      <c r="ALS5" s="74"/>
      <c r="ALT5" s="74"/>
      <c r="ALU5" s="74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2.7" customHeight="1" x14ac:dyDescent="0.2">
      <c r="A6" s="221" t="s">
        <v>229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76"/>
      <c r="R6" s="76"/>
      <c r="S6" s="76"/>
      <c r="T6" s="77"/>
      <c r="U6" s="77"/>
      <c r="V6" s="77"/>
      <c r="W6" s="77"/>
      <c r="X6" s="77"/>
      <c r="Y6" s="78" t="s">
        <v>230</v>
      </c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 t="s">
        <v>231</v>
      </c>
      <c r="AS6" s="78"/>
      <c r="AT6" s="78"/>
      <c r="AU6" s="78" t="s">
        <v>232</v>
      </c>
      <c r="AV6" s="78" t="s">
        <v>233</v>
      </c>
      <c r="AW6" s="78" t="s">
        <v>234</v>
      </c>
      <c r="AX6" s="78" t="s">
        <v>235</v>
      </c>
      <c r="AY6" s="78" t="s">
        <v>236</v>
      </c>
      <c r="AZ6" s="78" t="s">
        <v>237</v>
      </c>
      <c r="BA6" s="78" t="s">
        <v>238</v>
      </c>
      <c r="BB6" s="78" t="s">
        <v>239</v>
      </c>
      <c r="BC6" s="78" t="s">
        <v>240</v>
      </c>
      <c r="BD6" s="78"/>
      <c r="BE6" s="78"/>
      <c r="BF6" s="78"/>
      <c r="BG6" s="78"/>
      <c r="BH6" s="78"/>
      <c r="BI6" s="78"/>
      <c r="BJ6" s="78"/>
      <c r="BK6" s="78" t="s">
        <v>241</v>
      </c>
      <c r="BL6" s="78" t="s">
        <v>242</v>
      </c>
      <c r="BM6" s="78" t="s">
        <v>243</v>
      </c>
      <c r="BN6" s="78" t="s">
        <v>244</v>
      </c>
      <c r="BO6" s="78" t="s">
        <v>245</v>
      </c>
      <c r="BP6" s="78" t="s">
        <v>246</v>
      </c>
      <c r="BQ6" s="78" t="s">
        <v>247</v>
      </c>
      <c r="BR6" s="78" t="s">
        <v>248</v>
      </c>
      <c r="BS6" s="78" t="s">
        <v>248</v>
      </c>
      <c r="BT6" s="78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</row>
    <row r="7" spans="1:1024" ht="22.9" customHeight="1" x14ac:dyDescent="0.25">
      <c r="A7" s="93">
        <v>1</v>
      </c>
      <c r="B7" s="94"/>
      <c r="C7" s="95"/>
      <c r="D7" s="95"/>
      <c r="E7" s="96"/>
      <c r="F7" s="95"/>
      <c r="G7" s="95"/>
      <c r="H7" s="95"/>
      <c r="I7" s="95"/>
      <c r="J7" s="95"/>
      <c r="K7" s="84">
        <f>+(IF(AND(B7&gt;0,E7&gt;0),SUMIFS('2.CARGOS-SALARIOS'!$F$13:$F$105,'2.CARGOS-SALARIOS'!$D$13:$D$105,H7,'2.CARGOS-SALARIOS'!$E$13:$E$105,I7,'2.CARGOS-SALARIOS'!$C$13:$C$105,G7),0))</f>
        <v>0</v>
      </c>
      <c r="L7" s="84">
        <f>INT(IF(K7&gt;0,((YEARFRAC(E7,$H$1,3))),0))</f>
        <v>0</v>
      </c>
      <c r="M7" s="81"/>
      <c r="N7" s="84">
        <f>+L7+M7</f>
        <v>0</v>
      </c>
      <c r="O7" s="81"/>
      <c r="P7" s="85">
        <f>+IF(AND(E7&gt;0,OR(MONTH($H$2)=3,MONTH($H$2)=6,MONTH($H$2)=9,MONTH($H$2)=12),MONTH(E7)&lt;=MONTH($H$2),MONTH(E7)&gt;=MONTH($H$2)-2),VLOOKUP(DAYS360(E7,$H$2),'1.DATOS'!$G$27:$I$42,2),0)</f>
        <v>0</v>
      </c>
      <c r="Q7" s="81"/>
      <c r="R7" s="81"/>
      <c r="S7" s="81"/>
      <c r="T7" s="81"/>
      <c r="U7" s="81"/>
      <c r="V7" s="81"/>
      <c r="W7" s="81"/>
      <c r="X7" s="81"/>
      <c r="Y7" s="98">
        <f>+K7</f>
        <v>0</v>
      </c>
      <c r="Z7" s="98">
        <v>0</v>
      </c>
      <c r="AA7" s="98">
        <v>0</v>
      </c>
      <c r="AB7" s="98">
        <v>0</v>
      </c>
      <c r="AC7" s="98">
        <v>0</v>
      </c>
      <c r="AD7" s="87">
        <f>IF(Y7&gt;0,(('1.DATOS'!D10*$AD$2)*V7),0)</f>
        <v>0</v>
      </c>
      <c r="AE7" s="87" t="b">
        <f>+IF(Y7&gt;0,IF(OR(I7="TIEMPO COMPLETO",I7="Dedicación Exclusiva"),(('1.DATOS'!D10*$AE$2)),0))</f>
        <v>0</v>
      </c>
      <c r="AF7" s="87" t="b">
        <f>+IF(Y7&gt;0,IF(OR(I7='2.CARGOS-SALARIOS'!J13,I7='2.CARGOS-SALARIOS'!J14),'1.DATOS'!D10*$AF$2,"No Apĺica"))</f>
        <v>0</v>
      </c>
      <c r="AG7" s="87" t="b">
        <f>+IF(Y7&gt;0,IF(OR(G7='1.DATOS'!H15,G7='1.DATOS'!H16),Y7*VLOOKUP(X7,'1.DATOS'!C14:E22,3,0),"No Aplica"))</f>
        <v>0</v>
      </c>
      <c r="AH7" s="98" t="b">
        <f>+IF(Y7&gt;0,Y7*0.015*N7)</f>
        <v>0</v>
      </c>
      <c r="AI7" s="98" t="str">
        <f>+IF(AND(Y7&gt;0,G7='1.DATOS'!$H$16,J7="SI"),'1.DATOS'!$D$10*$AI$2,"No Aplica")</f>
        <v>No Aplica</v>
      </c>
      <c r="AJ7" s="98" t="str">
        <f>+IF(AND(Y7&gt;0,G7='1.DATOS'!$H$14,X7='1.DATOS'!$C$19),Y7*'1.DATOS'!$E$19,"No Aplica")</f>
        <v>No Aplica</v>
      </c>
      <c r="AK7" s="98" t="str">
        <f>+IF(AND(Y7&gt;0,G7='1.DATOS'!$H$14,X7='1.DATOS'!$C$20),Y7*'1.DATOS'!$E$20,"No Aplica")</f>
        <v>No Aplica</v>
      </c>
      <c r="AL7" s="98" t="str">
        <f>+IF(AND(Y7&gt;0,G7='1.DATOS'!$H$14,X7='1.DATOS'!$C$21),Y7*'1.DATOS'!$E$21,"No Aplica")</f>
        <v>No Aplica</v>
      </c>
      <c r="AM7" s="98"/>
      <c r="AN7" s="98"/>
      <c r="AO7" s="98"/>
      <c r="AP7" s="98"/>
      <c r="AQ7" s="98">
        <f>SUM(Y7:AP7)</f>
        <v>0</v>
      </c>
      <c r="AR7" s="100" t="b">
        <f>+IF(Y7&gt;0,('1.DATOS'!$D$10*'1.DATOS'!$F$10*'1.DATOS'!$G$10)*VLOOKUP(I7,'1.DATOS'!$H$47:$I$60,2,FALSE()))</f>
        <v>0</v>
      </c>
      <c r="AS7" s="100"/>
      <c r="AT7" s="100">
        <v>0</v>
      </c>
      <c r="AU7" s="100">
        <f>+((((AQ7+BA7)+(AQ7+BA7)/30*120/12))/30*105)*0</f>
        <v>0</v>
      </c>
      <c r="AV7" s="100">
        <f>+((((AQ7+BA7)+(AQ7+BA7)/30*105/12))/30*120)*0</f>
        <v>0</v>
      </c>
      <c r="AW7" s="100">
        <f>+((AQ7*12)/52)*'1.DATOS'!$J$10</f>
        <v>0</v>
      </c>
      <c r="AX7" s="100">
        <f>+AQ7*'1.DATOS'!$J$11</f>
        <v>0</v>
      </c>
      <c r="AY7" s="100">
        <f>((AQ7*12)/52)*'1.DATOS'!$J$13</f>
        <v>0</v>
      </c>
      <c r="AZ7" s="100">
        <f>+AQ7*'1.DATOS'!$J$12</f>
        <v>0</v>
      </c>
      <c r="BA7" s="100">
        <f>+AQ7*'1.DATOS'!$J$14</f>
        <v>0</v>
      </c>
      <c r="BB7" s="100">
        <f>+IF(OR('1.DATOS'!$D$4='1.DATOS'!$C$28,'1.DATOS'!$D$4='1.DATOS'!$C$31,'1.DATOS'!$D$4='1.DATOS'!$C$34,'1.DATOS'!$D$4='1.DATOS'!$C$37),AQ7/30*530/360,"Falso")</f>
        <v>0</v>
      </c>
      <c r="BC7" s="100">
        <v>0</v>
      </c>
      <c r="BD7" s="100" t="b">
        <f>+IF(AQ7&gt;0,IF(OR(I7="TIEMPO COMPLETO",I7="Dedicación Exclusiva"),($BD$2*'1.DATOS'!$D$10*T7)))</f>
        <v>0</v>
      </c>
      <c r="BE7" s="100">
        <v>0</v>
      </c>
      <c r="BF7" s="100">
        <v>0</v>
      </c>
      <c r="BG7" s="100">
        <v>0</v>
      </c>
      <c r="BH7" s="100">
        <v>0</v>
      </c>
      <c r="BI7" s="100"/>
      <c r="BJ7" s="88" t="b">
        <f>+IF(Y7&gt;0,IF(OR(I7="TIEMPO COMPLETO",I7="Dedicación Exclusiva"),('1.DATOS'!$C$10*$BJ$2)*U7))</f>
        <v>0</v>
      </c>
      <c r="BK7" s="100">
        <f>+AQ7*0.01</f>
        <v>0</v>
      </c>
      <c r="BL7" s="100">
        <v>0</v>
      </c>
      <c r="BM7" s="100">
        <v>0</v>
      </c>
      <c r="BN7" s="100">
        <v>0</v>
      </c>
      <c r="BO7" s="100">
        <f>+(BM7+BN7)*0.12</f>
        <v>0</v>
      </c>
      <c r="BP7" s="100">
        <v>0</v>
      </c>
      <c r="BQ7" s="100">
        <v>0</v>
      </c>
      <c r="BR7" s="100">
        <v>0</v>
      </c>
      <c r="BS7" s="100">
        <v>0</v>
      </c>
      <c r="BT7" s="65">
        <f>+SUM(AQ7:BS7)</f>
        <v>0</v>
      </c>
      <c r="BU7" s="101"/>
      <c r="ALN7" s="54"/>
      <c r="ALO7" s="54"/>
      <c r="ALP7" s="54"/>
      <c r="ALQ7" s="54"/>
      <c r="ALR7" s="54"/>
      <c r="ALS7" s="54"/>
      <c r="ALT7" s="54"/>
      <c r="ALU7" s="54"/>
      <c r="ALV7" s="54"/>
      <c r="ALW7" s="54"/>
    </row>
    <row r="8" spans="1:1024" ht="22.9" customHeight="1" x14ac:dyDescent="0.25">
      <c r="A8" s="93">
        <f>+A7+1</f>
        <v>2</v>
      </c>
      <c r="B8" s="94"/>
      <c r="C8" s="95"/>
      <c r="D8" s="95"/>
      <c r="E8" s="96"/>
      <c r="F8" s="95"/>
      <c r="G8" s="95"/>
      <c r="H8" s="95"/>
      <c r="I8" s="95"/>
      <c r="J8" s="95"/>
      <c r="K8" s="84">
        <f>+(IF(AND(B8&gt;0,E8&gt;0),SUMIFS('2.CARGOS-SALARIOS'!$F$13:$F$105,'2.CARGOS-SALARIOS'!$D$13:$D$105,H8,'2.CARGOS-SALARIOS'!$E$13:$E$105,I8,'2.CARGOS-SALARIOS'!$C$13:$C$105,G8),0))</f>
        <v>0</v>
      </c>
      <c r="L8" s="84">
        <f>INT(IF(K8&gt;0,((YEARFRAC(E8,$H$1,3))),0))</f>
        <v>0</v>
      </c>
      <c r="M8" s="81"/>
      <c r="N8" s="84">
        <f>+L8+M8</f>
        <v>0</v>
      </c>
      <c r="O8" s="81"/>
      <c r="P8" s="85">
        <f>+IF(AND(E8&gt;0,OR(MONTH($H$2)=3,MONTH($H$2)=6,MONTH($H$2)=9,MONTH($H$2)=12),MONTH(E8)&lt;=MONTH($H$2),MONTH(E8)&gt;=MONTH($H$2)-2),VLOOKUP(DAYS360(E8,$H$2),'1.DATOS'!$G$27:$I$42,2),0)</f>
        <v>0</v>
      </c>
      <c r="Q8" s="81"/>
      <c r="R8" s="81"/>
      <c r="S8" s="81"/>
      <c r="T8" s="81"/>
      <c r="U8" s="81"/>
      <c r="V8" s="81"/>
      <c r="W8" s="81"/>
      <c r="X8" s="81"/>
      <c r="Y8" s="98">
        <f>+K8</f>
        <v>0</v>
      </c>
      <c r="Z8" s="98">
        <v>0</v>
      </c>
      <c r="AA8" s="98">
        <v>0</v>
      </c>
      <c r="AB8" s="98">
        <v>0</v>
      </c>
      <c r="AC8" s="98">
        <v>0</v>
      </c>
      <c r="AD8" s="87">
        <f>IF(Y8&gt;0,(('1.DATOS'!D11*$AD$2)*V8),0)</f>
        <v>0</v>
      </c>
      <c r="AE8" s="87" t="b">
        <f>+IF(Y8&gt;0,IF(OR(I8="TIEMPO COMPLETO",I8="Dedicación Exclusiva"),(('1.DATOS'!D11*$AE$2)),0))</f>
        <v>0</v>
      </c>
      <c r="AF8" s="87" t="b">
        <f>+IF(Y8&gt;0,IF(OR(I8='2.CARGOS-SALARIOS'!J14,I8='2.CARGOS-SALARIOS'!J15),'1.DATOS'!D11*$AF$2,"No Apĺica"))</f>
        <v>0</v>
      </c>
      <c r="AG8" s="87" t="b">
        <f>+IF(Y8&gt;0,IF(OR(G8='1.DATOS'!H16,G8='1.DATOS'!H17),Y8*VLOOKUP(X8,'1.DATOS'!C15:E23,3,0),"No Aplica"))</f>
        <v>0</v>
      </c>
      <c r="AH8" s="98" t="b">
        <f>+IF(Y8&gt;0,Y8*0.015*N8)</f>
        <v>0</v>
      </c>
      <c r="AI8" s="98" t="str">
        <f>+IF(AND(Y8&gt;0,G8='1.DATOS'!$H$16,J8="SI"),'1.DATOS'!$D$10*$AI$2,"No Aplica")</f>
        <v>No Aplica</v>
      </c>
      <c r="AJ8" s="98" t="str">
        <f>+IF(AND(Y8&gt;0,G8='1.DATOS'!$H$14,X8='1.DATOS'!$C$19),Y8*'1.DATOS'!$E$19,"No Aplica")</f>
        <v>No Aplica</v>
      </c>
      <c r="AK8" s="98" t="str">
        <f>+IF(AND(Y8&gt;0,G8='1.DATOS'!$H$14,X8='1.DATOS'!$C$20),Y8*'1.DATOS'!$E$20,"No Aplica")</f>
        <v>No Aplica</v>
      </c>
      <c r="AL8" s="98" t="str">
        <f>+IF(AND(Y8&gt;0,G8='1.DATOS'!$H$14,X8='1.DATOS'!$C$21),Y8*'1.DATOS'!$E$21,"No Aplica")</f>
        <v>No Aplica</v>
      </c>
      <c r="AM8" s="98"/>
      <c r="AN8" s="98"/>
      <c r="AO8" s="98"/>
      <c r="AP8" s="98"/>
      <c r="AQ8" s="98">
        <f>SUM(Y8:AP8)</f>
        <v>0</v>
      </c>
      <c r="AR8" s="100" t="b">
        <f>+IF(Y8&gt;0,('1.DATOS'!$D$10*'1.DATOS'!$F$10*'1.DATOS'!$G$10)*VLOOKUP(I8,'1.DATOS'!$H$47:$I$60,2,FALSE()))</f>
        <v>0</v>
      </c>
      <c r="AS8" s="100"/>
      <c r="AT8" s="100">
        <v>0</v>
      </c>
      <c r="AU8" s="100">
        <f>+((((AQ8+BA8)+(AQ8+BA8)/30*120/12))/30*105)*0</f>
        <v>0</v>
      </c>
      <c r="AV8" s="100">
        <f>+((((AQ8+BA8)+(AQ8+BA8)/30*105/12))/30*120)*0</f>
        <v>0</v>
      </c>
      <c r="AW8" s="100">
        <f>+((AQ8*12)/52)*'1.DATOS'!$J$10</f>
        <v>0</v>
      </c>
      <c r="AX8" s="100">
        <f>+AQ8*'1.DATOS'!$J$11</f>
        <v>0</v>
      </c>
      <c r="AY8" s="100">
        <f>((AQ8*12)/52)*'1.DATOS'!$J$13</f>
        <v>0</v>
      </c>
      <c r="AZ8" s="100">
        <f>+AQ8*'1.DATOS'!$J$12</f>
        <v>0</v>
      </c>
      <c r="BA8" s="100">
        <f>+AQ8*'1.DATOS'!$J$14</f>
        <v>0</v>
      </c>
      <c r="BB8" s="100">
        <f>+IF(OR('1.DATOS'!$D$4='1.DATOS'!$C$28,'1.DATOS'!$D$4='1.DATOS'!$C$31,'1.DATOS'!$D$4='1.DATOS'!$C$34,'1.DATOS'!$D$4='1.DATOS'!$C$37),AQ8/30*530/360,"Falso")</f>
        <v>0</v>
      </c>
      <c r="BC8" s="100">
        <v>0</v>
      </c>
      <c r="BD8" s="100" t="b">
        <f>+IF(AQ8&gt;0,IF(OR(I8="TIEMPO COMPLETO",I8="Dedicación Exclusiva"),($BD$2*'1.DATOS'!$D$10*T8)))</f>
        <v>0</v>
      </c>
      <c r="BE8" s="100">
        <v>0</v>
      </c>
      <c r="BF8" s="100">
        <v>0</v>
      </c>
      <c r="BG8" s="100">
        <v>0</v>
      </c>
      <c r="BH8" s="100">
        <v>0</v>
      </c>
      <c r="BI8" s="100"/>
      <c r="BJ8" s="88" t="b">
        <f>+IF(Y8&gt;0,IF(OR(I8="TIEMPO COMPLETO",I8="Dedicación Exclusiva"),('1.DATOS'!$C$10*$BJ$2)*U8))</f>
        <v>0</v>
      </c>
      <c r="BK8" s="100">
        <f>+AQ8*0.01</f>
        <v>0</v>
      </c>
      <c r="BL8" s="100">
        <v>0</v>
      </c>
      <c r="BM8" s="100">
        <v>0</v>
      </c>
      <c r="BN8" s="100">
        <v>0</v>
      </c>
      <c r="BO8" s="100">
        <f>+(BM8+BN8)*0.12</f>
        <v>0</v>
      </c>
      <c r="BP8" s="100">
        <v>0</v>
      </c>
      <c r="BQ8" s="100">
        <v>0</v>
      </c>
      <c r="BR8" s="100">
        <v>0</v>
      </c>
      <c r="BS8" s="100">
        <v>0</v>
      </c>
      <c r="BT8" s="65">
        <f>+SUM(AQ8:BS8)</f>
        <v>0</v>
      </c>
      <c r="BU8" s="101"/>
      <c r="ALN8" s="54"/>
      <c r="ALO8" s="54"/>
      <c r="ALP8" s="54"/>
      <c r="ALQ8" s="54"/>
      <c r="ALR8" s="54"/>
      <c r="ALS8" s="54"/>
      <c r="ALT8" s="54"/>
      <c r="ALU8" s="54"/>
      <c r="ALV8" s="54"/>
      <c r="ALW8" s="54"/>
    </row>
    <row r="9" spans="1:1024" ht="22.9" customHeight="1" x14ac:dyDescent="0.25">
      <c r="A9" s="93">
        <f>+A8+1</f>
        <v>3</v>
      </c>
      <c r="B9" s="94"/>
      <c r="C9" s="95"/>
      <c r="D9" s="95"/>
      <c r="E9" s="96"/>
      <c r="F9" s="95"/>
      <c r="G9" s="95"/>
      <c r="H9" s="95"/>
      <c r="I9" s="95"/>
      <c r="J9" s="95"/>
      <c r="K9" s="84">
        <f>+(IF(AND(B9&gt;0,E9&gt;0),SUMIFS('2.CARGOS-SALARIOS'!$F$13:$F$105,'2.CARGOS-SALARIOS'!$D$13:$D$105,H9,'2.CARGOS-SALARIOS'!$E$13:$E$105,I9,'2.CARGOS-SALARIOS'!$C$13:$C$105,G9),0))</f>
        <v>0</v>
      </c>
      <c r="L9" s="84">
        <f>INT(IF(K9&gt;0,((YEARFRAC(E9,$H$1,3))),0))</f>
        <v>0</v>
      </c>
      <c r="M9" s="81"/>
      <c r="N9" s="84">
        <f>+L9+M9</f>
        <v>0</v>
      </c>
      <c r="O9" s="81"/>
      <c r="P9" s="85">
        <f>+IF(AND(E9&gt;0,OR(MONTH($H$2)=3,MONTH($H$2)=6,MONTH($H$2)=9,MONTH($H$2)=12),MONTH(E9)&lt;=MONTH($H$2),MONTH(E9)&gt;=MONTH($H$2)-2),VLOOKUP(DAYS360(E9,$H$2),'1.DATOS'!$G$27:$I$42,2),0)</f>
        <v>0</v>
      </c>
      <c r="Q9" s="81"/>
      <c r="R9" s="81"/>
      <c r="S9" s="81"/>
      <c r="T9" s="81"/>
      <c r="U9" s="81"/>
      <c r="V9" s="81"/>
      <c r="W9" s="81"/>
      <c r="X9" s="81"/>
      <c r="Y9" s="98">
        <f>+K9</f>
        <v>0</v>
      </c>
      <c r="Z9" s="98">
        <v>0</v>
      </c>
      <c r="AA9" s="98">
        <v>0</v>
      </c>
      <c r="AB9" s="98">
        <v>0</v>
      </c>
      <c r="AC9" s="98">
        <v>0</v>
      </c>
      <c r="AD9" s="87">
        <f>IF(Y9&gt;0,(('1.DATOS'!D12*$AD$2)*V9),0)</f>
        <v>0</v>
      </c>
      <c r="AE9" s="87" t="b">
        <f>+IF(Y9&gt;0,IF(OR(I9="TIEMPO COMPLETO",I9="Dedicación Exclusiva"),(('1.DATOS'!D12*$AE$2)),0))</f>
        <v>0</v>
      </c>
      <c r="AF9" s="87" t="b">
        <f>+IF(Y9&gt;0,IF(OR(I9='2.CARGOS-SALARIOS'!J15,I9='2.CARGOS-SALARIOS'!J16),'1.DATOS'!D12*$AF$2,"No Apĺica"))</f>
        <v>0</v>
      </c>
      <c r="AG9" s="87" t="b">
        <f>+IF(Y9&gt;0,IF(OR(G9='1.DATOS'!H17,G9='1.DATOS'!H18),Y9*VLOOKUP(X9,'1.DATOS'!C16:E24,3,0),"No Aplica"))</f>
        <v>0</v>
      </c>
      <c r="AH9" s="98" t="b">
        <f>+IF(Y9&gt;0,Y9*0.015*N9)</f>
        <v>0</v>
      </c>
      <c r="AI9" s="98" t="str">
        <f>+IF(AND(Y9&gt;0,G9='1.DATOS'!$H$16,J9="SI"),'1.DATOS'!$D$10*$AI$2,"No Aplica")</f>
        <v>No Aplica</v>
      </c>
      <c r="AJ9" s="98" t="str">
        <f>+IF(AND(Y9&gt;0,G9='1.DATOS'!$H$14,X9='1.DATOS'!$C$19),Y9*'1.DATOS'!$E$19,"No Aplica")</f>
        <v>No Aplica</v>
      </c>
      <c r="AK9" s="98" t="str">
        <f>+IF(AND(Y9&gt;0,G9='1.DATOS'!$H$14,X9='1.DATOS'!$C$20),Y9*'1.DATOS'!$E$20,"No Aplica")</f>
        <v>No Aplica</v>
      </c>
      <c r="AL9" s="98" t="str">
        <f>+IF(AND(Y9&gt;0,G9='1.DATOS'!$H$14,X9='1.DATOS'!$C$21),Y9*'1.DATOS'!$E$21,"No Aplica")</f>
        <v>No Aplica</v>
      </c>
      <c r="AM9" s="98"/>
      <c r="AN9" s="98"/>
      <c r="AO9" s="98"/>
      <c r="AP9" s="98"/>
      <c r="AQ9" s="98">
        <f>SUM(Y9:AP9)</f>
        <v>0</v>
      </c>
      <c r="AR9" s="100" t="b">
        <f>+IF(Y9&gt;0,('1.DATOS'!$D$10*'1.DATOS'!$F$10*'1.DATOS'!$G$10)*VLOOKUP(I9,'1.DATOS'!$H$47:$I$60,2,FALSE()))</f>
        <v>0</v>
      </c>
      <c r="AS9" s="100"/>
      <c r="AT9" s="100">
        <v>0</v>
      </c>
      <c r="AU9" s="100">
        <f>+((((AQ9+BA9)+(AQ9+BA9)/30*120/12))/30*105)*0</f>
        <v>0</v>
      </c>
      <c r="AV9" s="100">
        <f>+((((AQ9+BA9)+(AQ9+BA9)/30*105/12))/30*120)*0</f>
        <v>0</v>
      </c>
      <c r="AW9" s="100">
        <f>+((AQ9*12)/52)*'1.DATOS'!$J$10</f>
        <v>0</v>
      </c>
      <c r="AX9" s="100">
        <f>+AQ9*'1.DATOS'!$J$11</f>
        <v>0</v>
      </c>
      <c r="AY9" s="100">
        <f>((AQ9*12)/52)*'1.DATOS'!$J$13</f>
        <v>0</v>
      </c>
      <c r="AZ9" s="100">
        <f>+AQ9*'1.DATOS'!$J$12</f>
        <v>0</v>
      </c>
      <c r="BA9" s="100">
        <f>+AQ9*'1.DATOS'!$J$14</f>
        <v>0</v>
      </c>
      <c r="BB9" s="100">
        <f>+IF(OR('1.DATOS'!$D$4='1.DATOS'!$C$28,'1.DATOS'!$D$4='1.DATOS'!$C$31,'1.DATOS'!$D$4='1.DATOS'!$C$34,'1.DATOS'!$D$4='1.DATOS'!$C$37),AQ9/30*530/360,"Falso")</f>
        <v>0</v>
      </c>
      <c r="BC9" s="100">
        <v>0</v>
      </c>
      <c r="BD9" s="100" t="b">
        <f>+IF(AQ9&gt;0,IF(OR(I9="TIEMPO COMPLETO",I9="Dedicación Exclusiva"),($BD$2*'1.DATOS'!$D$10*T9)))</f>
        <v>0</v>
      </c>
      <c r="BE9" s="100">
        <v>0</v>
      </c>
      <c r="BF9" s="100">
        <v>0</v>
      </c>
      <c r="BG9" s="100">
        <v>0</v>
      </c>
      <c r="BH9" s="100">
        <v>0</v>
      </c>
      <c r="BI9" s="100"/>
      <c r="BJ9" s="88" t="b">
        <f>+IF(Y9&gt;0,IF(OR(I9="TIEMPO COMPLETO",I9="Dedicación Exclusiva"),('1.DATOS'!$C$10*$BJ$2)*U9))</f>
        <v>0</v>
      </c>
      <c r="BK9" s="100">
        <f>+AQ9*0.01</f>
        <v>0</v>
      </c>
      <c r="BL9" s="100">
        <v>0</v>
      </c>
      <c r="BM9" s="100">
        <v>0</v>
      </c>
      <c r="BN9" s="100">
        <v>0</v>
      </c>
      <c r="BO9" s="100">
        <f>+(BM9+BN9)*0.12</f>
        <v>0</v>
      </c>
      <c r="BP9" s="100">
        <v>0</v>
      </c>
      <c r="BQ9" s="100">
        <v>0</v>
      </c>
      <c r="BR9" s="100">
        <v>0</v>
      </c>
      <c r="BS9" s="100">
        <v>0</v>
      </c>
      <c r="BT9" s="65">
        <f>+SUM(AQ9:BS9)</f>
        <v>0</v>
      </c>
      <c r="BU9" s="101"/>
      <c r="ALN9" s="54"/>
      <c r="ALO9" s="54"/>
      <c r="ALP9" s="54"/>
      <c r="ALQ9" s="54"/>
      <c r="ALR9" s="54"/>
      <c r="ALS9" s="54"/>
      <c r="ALT9" s="54"/>
      <c r="ALU9" s="54"/>
      <c r="ALV9" s="54"/>
      <c r="ALW9" s="54"/>
    </row>
    <row r="10" spans="1:1024" ht="15.75" x14ac:dyDescent="0.25">
      <c r="A10" s="93"/>
      <c r="B10" s="94"/>
      <c r="C10" s="95"/>
      <c r="D10" s="95"/>
      <c r="E10" s="96"/>
      <c r="F10" s="95"/>
      <c r="G10" s="95"/>
      <c r="H10" s="95"/>
      <c r="I10" s="95"/>
      <c r="J10" s="95"/>
      <c r="K10" s="84"/>
      <c r="L10" s="84"/>
      <c r="M10" s="81"/>
      <c r="N10" s="84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98"/>
      <c r="Z10" s="98"/>
      <c r="AA10" s="98"/>
      <c r="AB10" s="98"/>
      <c r="AC10" s="98"/>
      <c r="AD10" s="98"/>
      <c r="AE10" s="98"/>
      <c r="AF10" s="99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65"/>
      <c r="BU10" s="101"/>
      <c r="ALN10" s="54"/>
      <c r="ALO10" s="54"/>
      <c r="ALP10" s="54"/>
      <c r="ALQ10" s="54"/>
      <c r="ALR10" s="54"/>
      <c r="ALS10" s="54"/>
      <c r="ALT10" s="54"/>
      <c r="ALU10" s="54"/>
      <c r="ALV10" s="54"/>
      <c r="ALW10" s="54"/>
    </row>
    <row r="11" spans="1:1024" ht="21.95" customHeight="1" x14ac:dyDescent="0.25">
      <c r="A11" s="241" t="s">
        <v>130</v>
      </c>
      <c r="B11" s="241"/>
      <c r="C11" s="241"/>
      <c r="D11" s="241"/>
      <c r="E11" s="241"/>
      <c r="F11" s="241"/>
      <c r="G11" s="241"/>
      <c r="H11" s="241"/>
      <c r="I11" s="241"/>
      <c r="J11" s="241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V11"/>
    </row>
    <row r="12" spans="1:1024" ht="15.75" x14ac:dyDescent="0.2">
      <c r="A12" s="104"/>
      <c r="B12" s="104"/>
      <c r="C12" s="104"/>
      <c r="D12" s="104"/>
      <c r="E12" s="104"/>
      <c r="F12" s="105"/>
      <c r="G12" s="105"/>
      <c r="H12" s="105"/>
      <c r="I12" s="105"/>
      <c r="J12" s="10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V12"/>
    </row>
    <row r="13" spans="1:1024" x14ac:dyDescent="0.2">
      <c r="H13"/>
      <c r="I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V13"/>
    </row>
    <row r="14" spans="1:1024" x14ac:dyDescent="0.2">
      <c r="H14"/>
      <c r="I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V14"/>
    </row>
    <row r="15" spans="1:1024" ht="18" x14ac:dyDescent="0.25">
      <c r="H15" s="110" t="s">
        <v>249</v>
      </c>
      <c r="I15" s="111">
        <f>+COUNTA(B7:B10)</f>
        <v>0</v>
      </c>
      <c r="K15" s="112">
        <f t="shared" ref="K15:AL15" si="0">SUM(K7:K10)</f>
        <v>0</v>
      </c>
      <c r="L15" s="112">
        <f t="shared" si="0"/>
        <v>0</v>
      </c>
      <c r="M15" s="112">
        <f t="shared" si="0"/>
        <v>0</v>
      </c>
      <c r="N15" s="112">
        <f t="shared" si="0"/>
        <v>0</v>
      </c>
      <c r="O15" s="112">
        <f t="shared" si="0"/>
        <v>0</v>
      </c>
      <c r="P15" s="112">
        <f t="shared" si="0"/>
        <v>0</v>
      </c>
      <c r="Q15" s="112">
        <f t="shared" si="0"/>
        <v>0</v>
      </c>
      <c r="R15" s="112">
        <f t="shared" si="0"/>
        <v>0</v>
      </c>
      <c r="S15" s="112">
        <f t="shared" si="0"/>
        <v>0</v>
      </c>
      <c r="T15" s="112">
        <f t="shared" si="0"/>
        <v>0</v>
      </c>
      <c r="U15" s="112">
        <f t="shared" si="0"/>
        <v>0</v>
      </c>
      <c r="V15" s="112">
        <f t="shared" si="0"/>
        <v>0</v>
      </c>
      <c r="W15" s="112">
        <f t="shared" si="0"/>
        <v>0</v>
      </c>
      <c r="X15" s="112">
        <f t="shared" si="0"/>
        <v>0</v>
      </c>
      <c r="Y15" s="112">
        <f t="shared" si="0"/>
        <v>0</v>
      </c>
      <c r="Z15" s="112">
        <f t="shared" si="0"/>
        <v>0</v>
      </c>
      <c r="AA15" s="112">
        <f t="shared" si="0"/>
        <v>0</v>
      </c>
      <c r="AB15" s="112">
        <f t="shared" si="0"/>
        <v>0</v>
      </c>
      <c r="AC15" s="112">
        <f t="shared" si="0"/>
        <v>0</v>
      </c>
      <c r="AD15" s="112">
        <f t="shared" si="0"/>
        <v>0</v>
      </c>
      <c r="AE15" s="112">
        <f t="shared" si="0"/>
        <v>0</v>
      </c>
      <c r="AF15" s="112">
        <f t="shared" si="0"/>
        <v>0</v>
      </c>
      <c r="AG15" s="112">
        <f t="shared" si="0"/>
        <v>0</v>
      </c>
      <c r="AH15" s="112">
        <f t="shared" si="0"/>
        <v>0</v>
      </c>
      <c r="AI15" s="112">
        <f t="shared" si="0"/>
        <v>0</v>
      </c>
      <c r="AJ15" s="112">
        <f t="shared" si="0"/>
        <v>0</v>
      </c>
      <c r="AK15" s="112">
        <f t="shared" si="0"/>
        <v>0</v>
      </c>
      <c r="AL15" s="112">
        <f t="shared" si="0"/>
        <v>0</v>
      </c>
      <c r="AM15" s="112"/>
      <c r="AN15" s="112"/>
      <c r="AO15" s="112"/>
      <c r="AP15" s="112">
        <f>SUM(AP7:AP10)</f>
        <v>0</v>
      </c>
      <c r="AQ15" s="112">
        <f>SUM(AQ7:AQ10)</f>
        <v>0</v>
      </c>
      <c r="AR15" s="112">
        <f>SUM(AR7:AR10)</f>
        <v>0</v>
      </c>
      <c r="AS15" s="112"/>
      <c r="AT15" s="112">
        <f t="shared" ref="AT15:BH15" si="1">SUM(AT7:AT10)</f>
        <v>0</v>
      </c>
      <c r="AU15" s="112">
        <f t="shared" si="1"/>
        <v>0</v>
      </c>
      <c r="AV15" s="112">
        <f t="shared" si="1"/>
        <v>0</v>
      </c>
      <c r="AW15" s="112">
        <f t="shared" si="1"/>
        <v>0</v>
      </c>
      <c r="AX15" s="112">
        <f t="shared" si="1"/>
        <v>0</v>
      </c>
      <c r="AY15" s="112">
        <f t="shared" si="1"/>
        <v>0</v>
      </c>
      <c r="AZ15" s="112">
        <f t="shared" si="1"/>
        <v>0</v>
      </c>
      <c r="BA15" s="112">
        <f t="shared" si="1"/>
        <v>0</v>
      </c>
      <c r="BB15" s="112">
        <f t="shared" si="1"/>
        <v>0</v>
      </c>
      <c r="BC15" s="112">
        <f t="shared" si="1"/>
        <v>0</v>
      </c>
      <c r="BD15" s="112">
        <f t="shared" si="1"/>
        <v>0</v>
      </c>
      <c r="BE15" s="112">
        <f t="shared" si="1"/>
        <v>0</v>
      </c>
      <c r="BF15" s="112">
        <f t="shared" si="1"/>
        <v>0</v>
      </c>
      <c r="BG15" s="112">
        <f t="shared" si="1"/>
        <v>0</v>
      </c>
      <c r="BH15" s="112">
        <f t="shared" si="1"/>
        <v>0</v>
      </c>
      <c r="BI15" s="112"/>
      <c r="BJ15" s="112">
        <f t="shared" ref="BJ15:BT15" si="2">SUM(BJ7:BJ10)</f>
        <v>0</v>
      </c>
      <c r="BK15" s="112">
        <f t="shared" si="2"/>
        <v>0</v>
      </c>
      <c r="BL15" s="112">
        <f t="shared" si="2"/>
        <v>0</v>
      </c>
      <c r="BM15" s="112">
        <f t="shared" si="2"/>
        <v>0</v>
      </c>
      <c r="BN15" s="112">
        <f t="shared" si="2"/>
        <v>0</v>
      </c>
      <c r="BO15" s="112">
        <f t="shared" si="2"/>
        <v>0</v>
      </c>
      <c r="BP15" s="112">
        <f t="shared" si="2"/>
        <v>0</v>
      </c>
      <c r="BQ15" s="112">
        <f t="shared" si="2"/>
        <v>0</v>
      </c>
      <c r="BR15" s="112">
        <f t="shared" si="2"/>
        <v>0</v>
      </c>
      <c r="BS15" s="112">
        <f t="shared" si="2"/>
        <v>0</v>
      </c>
      <c r="BT15" s="169">
        <f t="shared" si="2"/>
        <v>0</v>
      </c>
      <c r="BV15" s="101"/>
    </row>
  </sheetData>
  <mergeCells count="27">
    <mergeCell ref="A6:P6"/>
    <mergeCell ref="A11:J11"/>
    <mergeCell ref="BK3:BQ3"/>
    <mergeCell ref="BR3:BS3"/>
    <mergeCell ref="A4:K4"/>
    <mergeCell ref="L4:P4"/>
    <mergeCell ref="Q4:X4"/>
    <mergeCell ref="Y4:AC4"/>
    <mergeCell ref="AD4:AL4"/>
    <mergeCell ref="AQ4:AQ5"/>
    <mergeCell ref="AR4:AT4"/>
    <mergeCell ref="AU4:AV4"/>
    <mergeCell ref="AW4:BC4"/>
    <mergeCell ref="BD4:BJ4"/>
    <mergeCell ref="BK4:BQ4"/>
    <mergeCell ref="BR4:BS4"/>
    <mergeCell ref="AJ1:AL2"/>
    <mergeCell ref="AQ1:AQ3"/>
    <mergeCell ref="AR1:AT2"/>
    <mergeCell ref="AW1:BB2"/>
    <mergeCell ref="AB2:AC2"/>
    <mergeCell ref="AB3:AC3"/>
    <mergeCell ref="A1:F3"/>
    <mergeCell ref="G1:G3"/>
    <mergeCell ref="H1:H3"/>
    <mergeCell ref="AB1:AC1"/>
    <mergeCell ref="AG1:AH2"/>
  </mergeCells>
  <dataValidations count="1">
    <dataValidation type="list" operator="equal" allowBlank="1" showErrorMessage="1" sqref="J7:J10">
      <formula1>"SI,NO"</formula1>
      <formula2>0</formula2>
    </dataValidation>
  </dataValidations>
  <pageMargins left="0.31527777777777799" right="0.39374999999999999" top="0.74791666666666701" bottom="0.47222222222222199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equal" allowBlank="1" showErrorMessage="1">
          <x14:formula1>
            <xm:f>'1.DATOS'!$H$10:$H$11</xm:f>
          </x14:formula1>
          <x14:formula2>
            <xm:f>0</xm:f>
          </x14:formula2>
          <xm:sqref>D7:D9</xm:sqref>
        </x14:dataValidation>
        <x14:dataValidation type="list" operator="equal" allowBlank="1" showErrorMessage="1">
          <x14:formula1>
            <xm:f>'1.DATOS'!$G$13</xm:f>
          </x14:formula1>
          <x14:formula2>
            <xm:f>0</xm:f>
          </x14:formula2>
          <xm:sqref>F7:F9</xm:sqref>
        </x14:dataValidation>
        <x14:dataValidation type="list" operator="equal" allowBlank="1" showErrorMessage="1">
          <x14:formula1>
            <xm:f>'1.DATOS'!$H$14:$H$15</xm:f>
          </x14:formula1>
          <x14:formula2>
            <xm:f>0</xm:f>
          </x14:formula2>
          <xm:sqref>G7:G9</xm:sqref>
        </x14:dataValidation>
        <x14:dataValidation type="list" operator="equal" allowBlank="1" showErrorMessage="1">
          <x14:formula1>
            <xm:f>'2.CARGOS-SALARIOS'!$I$14:$I$36</xm:f>
          </x14:formula1>
          <x14:formula2>
            <xm:f>0</xm:f>
          </x14:formula2>
          <xm:sqref>H7:H9</xm:sqref>
        </x14:dataValidation>
        <x14:dataValidation type="list" operator="equal" allowBlank="1" showErrorMessage="1">
          <x14:formula1>
            <xm:f>'2.CARGOS-SALARIOS'!$J$13:$J$21</xm:f>
          </x14:formula1>
          <x14:formula2>
            <xm:f>0</xm:f>
          </x14:formula2>
          <xm:sqref>I7:I9</xm:sqref>
        </x14:dataValidation>
        <x14:dataValidation type="list" operator="equal" allowBlank="1" showErrorMessage="1">
          <x14:formula1>
            <xm:f>'1.DATOS'!$C$15:$C$22</xm:f>
          </x14:formula1>
          <x14:formula2>
            <xm:f>0</xm:f>
          </x14:formula2>
          <xm:sqref>X7:X9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AMJ15"/>
  <sheetViews>
    <sheetView showGridLines="0" topLeftCell="Y1" zoomScale="60" zoomScaleNormal="60" workbookViewId="0">
      <selection activeCell="AM7" sqref="AM7"/>
    </sheetView>
  </sheetViews>
  <sheetFormatPr baseColWidth="10" defaultColWidth="9.140625" defaultRowHeight="12.75" x14ac:dyDescent="0.2"/>
  <cols>
    <col min="1" max="1" width="7.85546875" style="53" customWidth="1"/>
    <col min="2" max="2" width="19.5703125" style="53" customWidth="1"/>
    <col min="3" max="3" width="20.5703125" style="53" customWidth="1"/>
    <col min="4" max="4" width="19.5703125" style="53" customWidth="1"/>
    <col min="5" max="5" width="13" style="53" customWidth="1"/>
    <col min="6" max="6" width="15.42578125" style="54" customWidth="1"/>
    <col min="7" max="7" width="21.42578125" style="54" customWidth="1"/>
    <col min="8" max="8" width="32.28515625" style="54" customWidth="1"/>
    <col min="9" max="9" width="24.7109375" style="54" customWidth="1"/>
    <col min="10" max="11" width="18.140625" style="54" customWidth="1"/>
    <col min="12" max="12" width="15.85546875" style="54" customWidth="1"/>
    <col min="13" max="13" width="13.140625" style="54" customWidth="1"/>
    <col min="14" max="14" width="12.7109375" style="54" customWidth="1"/>
    <col min="15" max="23" width="15.28515625" style="54" customWidth="1"/>
    <col min="24" max="24" width="19.5703125" style="54" customWidth="1"/>
    <col min="25" max="25" width="15.5703125" style="55" customWidth="1"/>
    <col min="26" max="32" width="16.5703125" style="55" customWidth="1"/>
    <col min="33" max="33" width="17.7109375" style="55" customWidth="1"/>
    <col min="34" max="34" width="23.85546875" style="55" customWidth="1"/>
    <col min="35" max="35" width="20.7109375" style="55" customWidth="1"/>
    <col min="36" max="36" width="21.5703125" style="55" customWidth="1"/>
    <col min="37" max="37" width="19.140625" style="55" customWidth="1"/>
    <col min="38" max="38" width="20.7109375" style="55" customWidth="1"/>
    <col min="39" max="39" width="21.5703125" style="55" customWidth="1"/>
    <col min="40" max="40" width="19.140625" style="55" customWidth="1"/>
    <col min="41" max="42" width="21.42578125" style="55" customWidth="1"/>
    <col min="43" max="43" width="22.42578125" style="55" customWidth="1"/>
    <col min="44" max="44" width="21.42578125" style="55" customWidth="1"/>
    <col min="45" max="50" width="12.42578125" style="54" customWidth="1"/>
    <col min="51" max="51" width="20" style="54" customWidth="1"/>
    <col min="52" max="52" width="17.140625" style="54" customWidth="1"/>
    <col min="53" max="53" width="16.28515625" style="54" customWidth="1"/>
    <col min="54" max="54" width="12.42578125" style="54" customWidth="1"/>
    <col min="55" max="55" width="15.7109375" style="54" customWidth="1"/>
    <col min="56" max="56" width="12.42578125" style="54" customWidth="1"/>
    <col min="57" max="57" width="16.5703125" style="54" customWidth="1"/>
    <col min="58" max="60" width="12.42578125" style="54" customWidth="1"/>
    <col min="61" max="61" width="15.7109375" style="54" customWidth="1"/>
    <col min="62" max="65" width="12.42578125" style="54" customWidth="1"/>
    <col min="66" max="66" width="17.7109375" style="54" customWidth="1"/>
    <col min="67" max="67" width="13.7109375" style="54" customWidth="1"/>
    <col min="68" max="68" width="13.42578125" style="54" customWidth="1"/>
    <col min="69" max="69" width="10.5703125" style="54" customWidth="1"/>
    <col min="70" max="996" width="9.5703125" style="54" customWidth="1"/>
    <col min="997" max="1007" width="8.5703125" customWidth="1"/>
    <col min="1008" max="1025" width="9.140625" customWidth="1"/>
  </cols>
  <sheetData>
    <row r="1" spans="1:1024" ht="33" customHeight="1" x14ac:dyDescent="0.2">
      <c r="A1" s="5" t="s">
        <v>341</v>
      </c>
      <c r="B1" s="5"/>
      <c r="C1" s="5"/>
      <c r="D1" s="5"/>
      <c r="E1" s="5"/>
      <c r="F1" s="4" t="s">
        <v>51</v>
      </c>
      <c r="G1" s="3">
        <f>+'1.DATOS'!F4</f>
        <v>43373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 s="2" t="s">
        <v>132</v>
      </c>
      <c r="AC1" s="2"/>
      <c r="AD1" s="57" t="s">
        <v>133</v>
      </c>
      <c r="AE1" s="57" t="s">
        <v>133</v>
      </c>
      <c r="AF1" s="1" t="s">
        <v>134</v>
      </c>
      <c r="AG1" s="1"/>
      <c r="AH1" s="57" t="s">
        <v>133</v>
      </c>
      <c r="AI1" s="58"/>
      <c r="AJ1" s="58"/>
      <c r="AK1" s="58"/>
      <c r="AL1" s="58"/>
      <c r="AM1" s="209"/>
      <c r="AN1" s="1" t="s">
        <v>134</v>
      </c>
      <c r="AO1" s="1"/>
      <c r="AP1" s="1"/>
      <c r="AQ1" s="57" t="s">
        <v>135</v>
      </c>
      <c r="AR1" s="57" t="s">
        <v>135</v>
      </c>
      <c r="AS1" s="1" t="s">
        <v>134</v>
      </c>
      <c r="AT1" s="1"/>
      <c r="AU1" s="1"/>
      <c r="AV1" s="1"/>
      <c r="AW1" s="1"/>
      <c r="AX1" s="1"/>
      <c r="AY1"/>
      <c r="AZ1" s="57" t="s">
        <v>133</v>
      </c>
      <c r="BA1" s="57" t="s">
        <v>133</v>
      </c>
      <c r="BB1" s="57" t="s">
        <v>133</v>
      </c>
      <c r="BC1" s="57" t="s">
        <v>133</v>
      </c>
      <c r="BD1" s="57" t="s">
        <v>133</v>
      </c>
      <c r="BE1" s="57" t="s">
        <v>136</v>
      </c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</row>
    <row r="2" spans="1:1024" ht="33.950000000000003" customHeight="1" x14ac:dyDescent="0.2">
      <c r="A2" s="5"/>
      <c r="B2" s="5"/>
      <c r="C2" s="5"/>
      <c r="D2" s="5"/>
      <c r="E2" s="5"/>
      <c r="F2" s="4"/>
      <c r="G2" s="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 s="210" t="s">
        <v>137</v>
      </c>
      <c r="AC2" s="210"/>
      <c r="AD2" s="60">
        <v>200</v>
      </c>
      <c r="AE2" s="60">
        <v>300</v>
      </c>
      <c r="AF2" s="1"/>
      <c r="AG2" s="1"/>
      <c r="AH2" s="60">
        <v>50</v>
      </c>
      <c r="AI2" s="58"/>
      <c r="AJ2" s="58"/>
      <c r="AK2" s="58"/>
      <c r="AL2" s="58"/>
      <c r="AM2" s="209"/>
      <c r="AN2" s="1"/>
      <c r="AO2" s="1"/>
      <c r="AP2" s="1"/>
      <c r="AQ2" s="60">
        <v>105</v>
      </c>
      <c r="AR2" s="60">
        <v>120</v>
      </c>
      <c r="AS2" s="1"/>
      <c r="AT2" s="1"/>
      <c r="AU2" s="1"/>
      <c r="AV2" s="1"/>
      <c r="AW2" s="1"/>
      <c r="AX2" s="1"/>
      <c r="AY2"/>
      <c r="AZ2" s="60">
        <v>50</v>
      </c>
      <c r="BA2" s="60">
        <v>200</v>
      </c>
      <c r="BB2" s="60">
        <v>100</v>
      </c>
      <c r="BC2" s="60">
        <v>300</v>
      </c>
      <c r="BD2" s="60">
        <v>100</v>
      </c>
      <c r="BE2" s="61">
        <v>0.4</v>
      </c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</row>
    <row r="3" spans="1:1024" s="54" customFormat="1" ht="30.75" customHeight="1" x14ac:dyDescent="0.25">
      <c r="A3" s="5"/>
      <c r="B3" s="5"/>
      <c r="C3" s="5"/>
      <c r="D3" s="5"/>
      <c r="E3" s="5"/>
      <c r="F3" s="4"/>
      <c r="G3" s="3"/>
      <c r="Y3" s="170"/>
      <c r="Z3" s="170"/>
      <c r="AA3" s="170"/>
      <c r="AB3" s="211" t="s">
        <v>138</v>
      </c>
      <c r="AC3" s="211"/>
      <c r="AD3" s="62" t="s">
        <v>139</v>
      </c>
      <c r="AE3" s="62" t="s">
        <v>140</v>
      </c>
      <c r="AF3" s="62" t="s">
        <v>142</v>
      </c>
      <c r="AG3" s="62" t="s">
        <v>143</v>
      </c>
      <c r="AH3" s="62" t="s">
        <v>144</v>
      </c>
      <c r="AI3" s="63"/>
      <c r="AJ3" s="63"/>
      <c r="AK3" s="63"/>
      <c r="AL3" s="63"/>
      <c r="AM3" s="209"/>
      <c r="AN3" s="62" t="s">
        <v>148</v>
      </c>
      <c r="AO3" s="62"/>
      <c r="AP3" s="62" t="s">
        <v>148</v>
      </c>
      <c r="AQ3" s="62" t="s">
        <v>149</v>
      </c>
      <c r="AR3" s="62" t="s">
        <v>150</v>
      </c>
      <c r="AS3" s="62" t="s">
        <v>148</v>
      </c>
      <c r="AT3" s="62" t="s">
        <v>148</v>
      </c>
      <c r="AU3" s="62" t="s">
        <v>148</v>
      </c>
      <c r="AV3" s="62" t="s">
        <v>148</v>
      </c>
      <c r="AW3" s="62" t="s">
        <v>148</v>
      </c>
      <c r="AX3" s="62" t="s">
        <v>148</v>
      </c>
      <c r="AY3"/>
      <c r="AZ3" s="62" t="s">
        <v>151</v>
      </c>
      <c r="BA3" s="62" t="s">
        <v>152</v>
      </c>
      <c r="BB3" s="62" t="s">
        <v>153</v>
      </c>
      <c r="BC3" s="62" t="s">
        <v>154</v>
      </c>
      <c r="BD3" s="62" t="s">
        <v>155</v>
      </c>
      <c r="BE3" s="62" t="s">
        <v>148</v>
      </c>
      <c r="BF3" s="238"/>
      <c r="BG3" s="238"/>
      <c r="BH3" s="238"/>
      <c r="BI3" s="238"/>
      <c r="BJ3" s="238"/>
      <c r="BK3" s="238"/>
      <c r="BL3" s="238"/>
      <c r="BM3" s="238"/>
      <c r="BN3" s="238"/>
      <c r="BO3" s="168"/>
      <c r="ALZ3"/>
      <c r="AMA3"/>
      <c r="AMB3"/>
      <c r="AMC3"/>
      <c r="AMD3"/>
      <c r="AME3"/>
      <c r="AMF3"/>
      <c r="AMG3"/>
      <c r="AMH3"/>
      <c r="AMI3"/>
      <c r="AMJ3"/>
    </row>
    <row r="4" spans="1:1024" ht="49.5" customHeight="1" x14ac:dyDescent="0.25">
      <c r="A4" s="212" t="s">
        <v>156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 t="s">
        <v>157</v>
      </c>
      <c r="M4" s="213"/>
      <c r="N4" s="213"/>
      <c r="O4" s="213"/>
      <c r="P4" s="213"/>
      <c r="Q4" s="212" t="s">
        <v>158</v>
      </c>
      <c r="R4" s="212"/>
      <c r="S4" s="212"/>
      <c r="T4" s="212"/>
      <c r="U4" s="212"/>
      <c r="V4" s="212"/>
      <c r="W4" s="212"/>
      <c r="X4" s="212"/>
      <c r="Y4" s="209" t="s">
        <v>102</v>
      </c>
      <c r="Z4" s="209"/>
      <c r="AA4" s="209"/>
      <c r="AB4" s="209"/>
      <c r="AC4" s="209"/>
      <c r="AD4" s="214" t="s">
        <v>159</v>
      </c>
      <c r="AE4" s="214"/>
      <c r="AF4" s="214"/>
      <c r="AG4" s="214"/>
      <c r="AH4" s="214"/>
      <c r="AI4" s="64"/>
      <c r="AJ4" s="64"/>
      <c r="AK4" s="64"/>
      <c r="AL4" s="64"/>
      <c r="AM4" s="209" t="s">
        <v>160</v>
      </c>
      <c r="AN4" s="239" t="s">
        <v>253</v>
      </c>
      <c r="AO4" s="239"/>
      <c r="AP4" s="239"/>
      <c r="AQ4" s="240" t="s">
        <v>255</v>
      </c>
      <c r="AR4" s="240"/>
      <c r="AS4" s="217" t="s">
        <v>12</v>
      </c>
      <c r="AT4" s="217"/>
      <c r="AU4" s="217"/>
      <c r="AV4" s="217"/>
      <c r="AW4" s="217"/>
      <c r="AX4" s="217"/>
      <c r="AY4" s="217"/>
      <c r="AZ4" s="218" t="s">
        <v>163</v>
      </c>
      <c r="BA4" s="218"/>
      <c r="BB4" s="218"/>
      <c r="BC4" s="218"/>
      <c r="BD4" s="218"/>
      <c r="BE4" s="218"/>
      <c r="BF4" s="219" t="s">
        <v>164</v>
      </c>
      <c r="BG4" s="219"/>
      <c r="BH4" s="219"/>
      <c r="BI4" s="219"/>
      <c r="BJ4" s="219"/>
      <c r="BK4" s="219"/>
      <c r="BL4" s="219"/>
      <c r="BM4" s="220" t="s">
        <v>165</v>
      </c>
      <c r="BN4" s="220"/>
      <c r="BO4" s="65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</row>
    <row r="5" spans="1:1024" s="75" customFormat="1" ht="128.25" customHeight="1" x14ac:dyDescent="0.2">
      <c r="A5" s="66" t="s">
        <v>98</v>
      </c>
      <c r="B5" s="67" t="s">
        <v>166</v>
      </c>
      <c r="C5" s="67" t="s">
        <v>167</v>
      </c>
      <c r="D5" s="67" t="s">
        <v>168</v>
      </c>
      <c r="E5" s="66" t="s">
        <v>169</v>
      </c>
      <c r="F5" s="66" t="s">
        <v>170</v>
      </c>
      <c r="G5" s="66" t="s">
        <v>21</v>
      </c>
      <c r="H5" s="66" t="s">
        <v>171</v>
      </c>
      <c r="I5" s="66" t="s">
        <v>70</v>
      </c>
      <c r="J5" s="66" t="s">
        <v>172</v>
      </c>
      <c r="K5" s="66" t="s">
        <v>173</v>
      </c>
      <c r="L5" s="66" t="s">
        <v>174</v>
      </c>
      <c r="M5" s="66" t="s">
        <v>175</v>
      </c>
      <c r="N5" s="66" t="s">
        <v>176</v>
      </c>
      <c r="O5" s="66" t="s">
        <v>262</v>
      </c>
      <c r="P5" s="66" t="s">
        <v>178</v>
      </c>
      <c r="Q5" s="66" t="s">
        <v>319</v>
      </c>
      <c r="R5" s="66" t="s">
        <v>320</v>
      </c>
      <c r="S5" s="66" t="s">
        <v>321</v>
      </c>
      <c r="T5" s="66" t="s">
        <v>182</v>
      </c>
      <c r="U5" s="66" t="s">
        <v>183</v>
      </c>
      <c r="V5" s="66" t="s">
        <v>184</v>
      </c>
      <c r="W5" s="66" t="s">
        <v>185</v>
      </c>
      <c r="X5" s="66" t="s">
        <v>267</v>
      </c>
      <c r="Y5" s="68" t="s">
        <v>342</v>
      </c>
      <c r="Z5" s="68" t="s">
        <v>343</v>
      </c>
      <c r="AA5" s="68" t="s">
        <v>344</v>
      </c>
      <c r="AB5" s="68" t="s">
        <v>345</v>
      </c>
      <c r="AC5" s="68" t="s">
        <v>346</v>
      </c>
      <c r="AD5" s="69" t="s">
        <v>347</v>
      </c>
      <c r="AE5" s="69" t="s">
        <v>193</v>
      </c>
      <c r="AF5" s="69" t="s">
        <v>18</v>
      </c>
      <c r="AG5" s="69" t="s">
        <v>195</v>
      </c>
      <c r="AH5" s="69" t="s">
        <v>196</v>
      </c>
      <c r="AI5" s="69" t="s">
        <v>327</v>
      </c>
      <c r="AJ5" s="69" t="s">
        <v>327</v>
      </c>
      <c r="AK5" s="69" t="s">
        <v>327</v>
      </c>
      <c r="AL5" s="69" t="s">
        <v>200</v>
      </c>
      <c r="AM5" s="209"/>
      <c r="AN5" s="70" t="s">
        <v>348</v>
      </c>
      <c r="AO5" s="70" t="s">
        <v>202</v>
      </c>
      <c r="AP5" s="70" t="s">
        <v>349</v>
      </c>
      <c r="AQ5" s="69" t="s">
        <v>350</v>
      </c>
      <c r="AR5" s="69" t="s">
        <v>351</v>
      </c>
      <c r="AS5" s="70" t="s">
        <v>352</v>
      </c>
      <c r="AT5" s="70" t="s">
        <v>353</v>
      </c>
      <c r="AU5" s="70" t="s">
        <v>354</v>
      </c>
      <c r="AV5" s="70" t="s">
        <v>355</v>
      </c>
      <c r="AW5" s="70" t="s">
        <v>356</v>
      </c>
      <c r="AX5" s="70" t="s">
        <v>357</v>
      </c>
      <c r="AY5" s="70" t="s">
        <v>358</v>
      </c>
      <c r="AZ5" s="71" t="s">
        <v>213</v>
      </c>
      <c r="BA5" s="71" t="s">
        <v>214</v>
      </c>
      <c r="BB5" s="71" t="s">
        <v>215</v>
      </c>
      <c r="BC5" s="71" t="s">
        <v>216</v>
      </c>
      <c r="BD5" s="71" t="s">
        <v>217</v>
      </c>
      <c r="BE5" s="71" t="s">
        <v>218</v>
      </c>
      <c r="BF5" s="72" t="s">
        <v>219</v>
      </c>
      <c r="BG5" s="72" t="s">
        <v>298</v>
      </c>
      <c r="BH5" s="72" t="s">
        <v>299</v>
      </c>
      <c r="BI5" s="72" t="s">
        <v>222</v>
      </c>
      <c r="BJ5" s="72" t="s">
        <v>223</v>
      </c>
      <c r="BK5" s="72" t="s">
        <v>224</v>
      </c>
      <c r="BL5" s="72" t="s">
        <v>225</v>
      </c>
      <c r="BM5" s="72" t="s">
        <v>226</v>
      </c>
      <c r="BN5" s="72" t="s">
        <v>227</v>
      </c>
      <c r="BO5" s="73" t="s">
        <v>304</v>
      </c>
      <c r="BP5" s="74"/>
      <c r="BQ5" s="74"/>
      <c r="ALI5" s="74"/>
      <c r="ALJ5" s="74"/>
      <c r="ALK5" s="74"/>
      <c r="ALL5" s="74"/>
      <c r="ALM5" s="74"/>
      <c r="ALN5" s="74"/>
      <c r="ALO5" s="74"/>
      <c r="ALP5" s="74"/>
      <c r="ALZ5"/>
      <c r="AMA5"/>
      <c r="AMB5"/>
      <c r="AMC5"/>
      <c r="AMD5"/>
      <c r="AME5"/>
      <c r="AMF5"/>
      <c r="AMG5"/>
      <c r="AMH5"/>
      <c r="AMI5"/>
      <c r="AMJ5"/>
    </row>
    <row r="6" spans="1:1024" ht="22.7" customHeight="1" x14ac:dyDescent="0.2">
      <c r="A6" s="221" t="s">
        <v>229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76"/>
      <c r="R6" s="76"/>
      <c r="S6" s="76"/>
      <c r="T6" s="77"/>
      <c r="U6" s="77"/>
      <c r="V6" s="77"/>
      <c r="W6" s="77"/>
      <c r="X6" s="77"/>
      <c r="Y6" s="78" t="s">
        <v>230</v>
      </c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 t="s">
        <v>231</v>
      </c>
      <c r="AO6" s="78"/>
      <c r="AP6" s="78"/>
      <c r="AQ6" s="78" t="s">
        <v>232</v>
      </c>
      <c r="AR6" s="78" t="s">
        <v>233</v>
      </c>
      <c r="AS6" s="78" t="s">
        <v>234</v>
      </c>
      <c r="AT6" s="78" t="s">
        <v>235</v>
      </c>
      <c r="AU6" s="78" t="s">
        <v>236</v>
      </c>
      <c r="AV6" s="78" t="s">
        <v>237</v>
      </c>
      <c r="AW6" s="78" t="s">
        <v>238</v>
      </c>
      <c r="AX6" s="78" t="s">
        <v>239</v>
      </c>
      <c r="AY6" s="78" t="s">
        <v>240</v>
      </c>
      <c r="AZ6" s="78"/>
      <c r="BA6" s="78"/>
      <c r="BB6" s="78"/>
      <c r="BC6" s="78"/>
      <c r="BD6" s="78"/>
      <c r="BE6" s="78"/>
      <c r="BF6" s="78" t="s">
        <v>241</v>
      </c>
      <c r="BG6" s="78" t="s">
        <v>242</v>
      </c>
      <c r="BH6" s="78" t="s">
        <v>243</v>
      </c>
      <c r="BI6" s="78" t="s">
        <v>244</v>
      </c>
      <c r="BJ6" s="78" t="s">
        <v>245</v>
      </c>
      <c r="BK6" s="78" t="s">
        <v>246</v>
      </c>
      <c r="BL6" s="78" t="s">
        <v>247</v>
      </c>
      <c r="BM6" s="78" t="s">
        <v>248</v>
      </c>
      <c r="BN6" s="78" t="s">
        <v>248</v>
      </c>
      <c r="BO6" s="78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</row>
    <row r="7" spans="1:1024" s="54" customFormat="1" ht="24" customHeight="1" x14ac:dyDescent="0.25">
      <c r="A7" s="93">
        <v>1</v>
      </c>
      <c r="B7" s="94"/>
      <c r="C7" s="95"/>
      <c r="D7" s="95"/>
      <c r="E7" s="96"/>
      <c r="F7" s="95"/>
      <c r="G7" s="95"/>
      <c r="H7" s="95"/>
      <c r="I7" s="95"/>
      <c r="J7" s="95"/>
      <c r="K7" s="84">
        <f>+(IF(AND(B7&gt;0,E7&gt;0),SUMIFS('2.CARGOS-SALARIOS'!$F$13:$F$105,'2.CARGOS-SALARIOS'!$D$13:$D$105,H7,'2.CARGOS-SALARIOS'!$E$13:$E$105,I7,'2.CARGOS-SALARIOS'!$C$13:$C$105,G7),0))</f>
        <v>0</v>
      </c>
      <c r="L7" s="84">
        <f>IF(K7&gt;0,((YEARFRAC(E7,$G$1,3))),0)</f>
        <v>0</v>
      </c>
      <c r="M7" s="81"/>
      <c r="N7" s="84">
        <f>+L7+M7</f>
        <v>0</v>
      </c>
      <c r="O7" s="81"/>
      <c r="P7" s="85">
        <f>+IF(AND(E7&gt;0,OR(MONTH($H$2)=3,MONTH($H$2)=6,MONTH($H$2)=9,MONTH($H$2)=12),MONTH(E7)&lt;=MONTH($H$2),MONTH(E7)&gt;=MONTH($H$2)-2),VLOOKUP(DAYS360(E7,$H$2),'1.DATOS'!$G$27:$I$42,2),0)</f>
        <v>0</v>
      </c>
      <c r="Q7" s="81"/>
      <c r="R7" s="81"/>
      <c r="S7" s="81"/>
      <c r="T7" s="81"/>
      <c r="U7" s="81"/>
      <c r="V7" s="81"/>
      <c r="W7" s="81"/>
      <c r="X7" s="81"/>
      <c r="Y7" s="98">
        <f>+K7</f>
        <v>0</v>
      </c>
      <c r="Z7" s="98">
        <v>0</v>
      </c>
      <c r="AA7" s="98">
        <v>0</v>
      </c>
      <c r="AB7" s="98">
        <v>0</v>
      </c>
      <c r="AC7" s="98">
        <v>0</v>
      </c>
      <c r="AD7" s="87">
        <f>IF(Y7&gt;0,(('1.DATOS'!D10*$AD$2)*V7),0)</f>
        <v>0</v>
      </c>
      <c r="AE7" s="87">
        <f>+IF(Y7&gt;0,(('1.DATOS'!D10*$AE$2)),0)</f>
        <v>0</v>
      </c>
      <c r="AF7" s="87" t="b">
        <f>+IF(Y7&gt;0,IF(OR(G7='1.DATOS'!H15,G7='1.DATOS'!H16),Y7*VLOOKUP(X7,'1.DATOS'!C14:E22,3,0),"No Aplica"))</f>
        <v>0</v>
      </c>
      <c r="AG7" s="98" t="b">
        <f>+IF(Y7&gt;0,Y7*0.015*N7)</f>
        <v>0</v>
      </c>
      <c r="AH7" s="98" t="str">
        <f>+IF(AND(Y7&gt;0,G7='1.DATOS'!$H$16,J7="SI"),'1.DATOS'!$D$10*$AH$2,"No Aplica")</f>
        <v>No Aplica</v>
      </c>
      <c r="AI7" s="98"/>
      <c r="AJ7" s="98"/>
      <c r="AK7" s="98"/>
      <c r="AL7" s="98"/>
      <c r="AM7" s="98">
        <f>SUM(Y7:AL7)</f>
        <v>0</v>
      </c>
      <c r="AN7" s="100" t="b">
        <f>+IF(Y7&gt;0,('1.DATOS'!$D$10*'1.DATOS'!$F$10*'1.DATOS'!$G$10)*VLOOKUP(I7,'1.DATOS'!$H$47:$I$60,2,FALSE()))</f>
        <v>0</v>
      </c>
      <c r="AO7" s="100"/>
      <c r="AP7" s="100">
        <v>0</v>
      </c>
      <c r="AQ7" s="100">
        <f>+((((AM7+AW7)+(AM7+AW7)/30*120/12))/30*105)*0</f>
        <v>0</v>
      </c>
      <c r="AR7" s="100">
        <f>+((((AM7+AW7)+(AM7+AW7)/30*105/12))/30*120)*0</f>
        <v>0</v>
      </c>
      <c r="AS7" s="100">
        <f>+((AM7*12)/52)*'1.DATOS'!$J$10</f>
        <v>0</v>
      </c>
      <c r="AT7" s="100">
        <f>+AM7*'1.DATOS'!$J$11</f>
        <v>0</v>
      </c>
      <c r="AU7" s="100">
        <f>((AM7*12)/52)*'1.DATOS'!$J$13</f>
        <v>0</v>
      </c>
      <c r="AV7" s="100">
        <f>+AM7*'1.DATOS'!$J$12</f>
        <v>0</v>
      </c>
      <c r="AW7" s="100">
        <f>+AM7*'1.DATOS'!$J$14</f>
        <v>0</v>
      </c>
      <c r="AX7" s="100">
        <f>+IF(OR('1.DATOS'!$D$4='1.DATOS'!$C$28,'1.DATOS'!$D$4='1.DATOS'!$C$31,'1.DATOS'!$D$4='1.DATOS'!$C$34,'1.DATOS'!$D$4='1.DATOS'!$C$37),AM7/30*530/360,"Falso")</f>
        <v>0</v>
      </c>
      <c r="AY7" s="100">
        <v>0</v>
      </c>
      <c r="AZ7" s="100" t="b">
        <f>+IF(AM7&gt;0,($AZ$2*'1.DATOS'!$D$10*T7))</f>
        <v>0</v>
      </c>
      <c r="BA7" s="100">
        <v>0</v>
      </c>
      <c r="BB7" s="100">
        <v>0</v>
      </c>
      <c r="BC7" s="100">
        <v>0</v>
      </c>
      <c r="BD7" s="100">
        <v>0</v>
      </c>
      <c r="BE7" s="88" t="b">
        <f>+IF(Y7&gt;0,('1.DATOS'!$C$10*$BE$2)*U7)</f>
        <v>0</v>
      </c>
      <c r="BF7" s="100">
        <f>+AM7*0.01</f>
        <v>0</v>
      </c>
      <c r="BG7" s="100">
        <v>0</v>
      </c>
      <c r="BH7" s="100">
        <v>0</v>
      </c>
      <c r="BI7" s="100">
        <v>0</v>
      </c>
      <c r="BJ7" s="100">
        <f>+(BH7+BI7)*0.12</f>
        <v>0</v>
      </c>
      <c r="BK7" s="100">
        <v>0</v>
      </c>
      <c r="BL7" s="100">
        <v>0</v>
      </c>
      <c r="BM7" s="100">
        <v>0</v>
      </c>
      <c r="BN7" s="100">
        <v>0</v>
      </c>
      <c r="BO7" s="65">
        <f>+SUM(AM7:BN7)</f>
        <v>0</v>
      </c>
      <c r="BP7" s="101"/>
      <c r="ALZ7"/>
      <c r="AMA7"/>
      <c r="AMB7"/>
      <c r="AMC7"/>
      <c r="AMD7"/>
      <c r="AME7"/>
      <c r="AMF7"/>
      <c r="AMG7"/>
      <c r="AMH7"/>
      <c r="AMI7"/>
      <c r="AMJ7"/>
    </row>
    <row r="8" spans="1:1024" s="54" customFormat="1" ht="24" customHeight="1" x14ac:dyDescent="0.25">
      <c r="A8" s="93">
        <f>+A7+1</f>
        <v>2</v>
      </c>
      <c r="B8" s="94"/>
      <c r="C8" s="95"/>
      <c r="D8" s="95"/>
      <c r="E8" s="96"/>
      <c r="F8" s="95"/>
      <c r="G8" s="95"/>
      <c r="H8" s="95"/>
      <c r="I8" s="95"/>
      <c r="J8" s="95"/>
      <c r="K8" s="84">
        <f>+(IF(AND(B8&gt;0,E8&gt;0),SUMIFS('2.CARGOS-SALARIOS'!$F$13:$F$105,'2.CARGOS-SALARIOS'!$D$13:$D$105,H8,'2.CARGOS-SALARIOS'!$E$13:$E$105,I8,'2.CARGOS-SALARIOS'!$C$13:$C$105,G8),0))</f>
        <v>0</v>
      </c>
      <c r="L8" s="84">
        <f>IF(K8&gt;0,((YEARFRAC(E8,$G$1,3))),0)</f>
        <v>0</v>
      </c>
      <c r="M8" s="81"/>
      <c r="N8" s="84">
        <f>+L8+M8</f>
        <v>0</v>
      </c>
      <c r="O8" s="81"/>
      <c r="P8" s="85">
        <f>+IF(AND(E8&gt;0,OR(MONTH($H$2)=3,MONTH($H$2)=6,MONTH($H$2)=9,MONTH($H$2)=12),MONTH(E8)&lt;=MONTH($H$2),MONTH(E8)&gt;=MONTH($H$2)-2),VLOOKUP(DAYS360(E8,$H$2),'1.DATOS'!$G$27:$I$42,2),0)</f>
        <v>0</v>
      </c>
      <c r="Q8" s="81"/>
      <c r="R8" s="81"/>
      <c r="S8" s="81"/>
      <c r="T8" s="81"/>
      <c r="U8" s="81"/>
      <c r="V8" s="81"/>
      <c r="W8" s="81"/>
      <c r="X8" s="81"/>
      <c r="Y8" s="98">
        <f>+K8</f>
        <v>0</v>
      </c>
      <c r="Z8" s="98">
        <v>0</v>
      </c>
      <c r="AA8" s="98">
        <v>0</v>
      </c>
      <c r="AB8" s="98">
        <v>0</v>
      </c>
      <c r="AC8" s="98">
        <v>0</v>
      </c>
      <c r="AD8" s="87">
        <f>IF(Y8&gt;0,(('1.DATOS'!D11*$AD$2)*V8),0)</f>
        <v>0</v>
      </c>
      <c r="AE8" s="87">
        <f>+IF(Y8&gt;0,(('1.DATOS'!D11*$AE$2)),0)</f>
        <v>0</v>
      </c>
      <c r="AF8" s="87" t="b">
        <f>+IF(Y8&gt;0,IF(OR(G8='1.DATOS'!H16,G8='1.DATOS'!H17),Y8*VLOOKUP(X8,'1.DATOS'!C15:E23,3,0),"No Aplica"))</f>
        <v>0</v>
      </c>
      <c r="AG8" s="98" t="b">
        <f>+IF(Y8&gt;0,Y8*0.015*N8)</f>
        <v>0</v>
      </c>
      <c r="AH8" s="98" t="str">
        <f>+IF(AND(Y8&gt;0,G8='1.DATOS'!$H$16,J8="SI"),'1.DATOS'!$D$10*$AH$2,"No Aplica")</f>
        <v>No Aplica</v>
      </c>
      <c r="AI8" s="98"/>
      <c r="AJ8" s="98"/>
      <c r="AK8" s="98"/>
      <c r="AL8" s="98"/>
      <c r="AM8" s="98">
        <f>SUM(Y8:AL8)</f>
        <v>0</v>
      </c>
      <c r="AN8" s="100" t="b">
        <f>+IF(Y8&gt;0,('1.DATOS'!$D$10*'1.DATOS'!$F$10*'1.DATOS'!$G$10)*VLOOKUP(I8,'1.DATOS'!$H$47:$I$60,2,FALSE()))</f>
        <v>0</v>
      </c>
      <c r="AO8" s="100"/>
      <c r="AP8" s="100">
        <v>0</v>
      </c>
      <c r="AQ8" s="100">
        <f>+((((AM8+AW8)+(AM8+AW8)/30*120/12))/30*105)*0</f>
        <v>0</v>
      </c>
      <c r="AR8" s="100">
        <f>+((((AM8+AW8)+(AM8+AW8)/30*105/12))/30*120)*0</f>
        <v>0</v>
      </c>
      <c r="AS8" s="100">
        <f>+((AM8*12)/52)*'1.DATOS'!$J$10</f>
        <v>0</v>
      </c>
      <c r="AT8" s="100">
        <f>+AM8*'1.DATOS'!$J$11</f>
        <v>0</v>
      </c>
      <c r="AU8" s="100">
        <f>((AM8*12)/52)*'1.DATOS'!$J$13</f>
        <v>0</v>
      </c>
      <c r="AV8" s="100">
        <f>+AM8*'1.DATOS'!$J$12</f>
        <v>0</v>
      </c>
      <c r="AW8" s="100">
        <f>+AM8*'1.DATOS'!$J$14</f>
        <v>0</v>
      </c>
      <c r="AX8" s="100">
        <f>+IF(OR('1.DATOS'!$D$4='1.DATOS'!$C$28,'1.DATOS'!$D$4='1.DATOS'!$C$31,'1.DATOS'!$D$4='1.DATOS'!$C$34,'1.DATOS'!$D$4='1.DATOS'!$C$37),AM8/30*530/360,"Falso")</f>
        <v>0</v>
      </c>
      <c r="AY8" s="100">
        <v>0</v>
      </c>
      <c r="AZ8" s="100" t="b">
        <f>+IF(AM8&gt;0,($AZ$2*'1.DATOS'!$D$10*T8))</f>
        <v>0</v>
      </c>
      <c r="BA8" s="100">
        <v>0</v>
      </c>
      <c r="BB8" s="100">
        <v>0</v>
      </c>
      <c r="BC8" s="100">
        <v>0</v>
      </c>
      <c r="BD8" s="100">
        <v>0</v>
      </c>
      <c r="BE8" s="88" t="b">
        <f>+IF(Y8&gt;0,('1.DATOS'!$C$10*$BE$2)*U8)</f>
        <v>0</v>
      </c>
      <c r="BF8" s="100">
        <f>+AM8*0.01</f>
        <v>0</v>
      </c>
      <c r="BG8" s="100">
        <v>0</v>
      </c>
      <c r="BH8" s="100">
        <v>0</v>
      </c>
      <c r="BI8" s="100">
        <v>0</v>
      </c>
      <c r="BJ8" s="100">
        <f>+(BH8+BI8)*0.12</f>
        <v>0</v>
      </c>
      <c r="BK8" s="100">
        <v>0</v>
      </c>
      <c r="BL8" s="100">
        <v>0</v>
      </c>
      <c r="BM8" s="100">
        <v>0</v>
      </c>
      <c r="BN8" s="100">
        <v>0</v>
      </c>
      <c r="BO8" s="65">
        <f>+SUM(AM8:BN8)</f>
        <v>0</v>
      </c>
      <c r="BP8" s="101"/>
      <c r="ALZ8"/>
      <c r="AMA8"/>
      <c r="AMB8"/>
      <c r="AMC8"/>
      <c r="AMD8"/>
      <c r="AME8"/>
      <c r="AMF8"/>
      <c r="AMG8"/>
      <c r="AMH8"/>
      <c r="AMI8"/>
      <c r="AMJ8"/>
    </row>
    <row r="9" spans="1:1024" s="54" customFormat="1" ht="24" customHeight="1" x14ac:dyDescent="0.25">
      <c r="A9" s="93">
        <f>+A8+1</f>
        <v>3</v>
      </c>
      <c r="B9" s="94"/>
      <c r="C9" s="95"/>
      <c r="D9" s="95"/>
      <c r="E9" s="96"/>
      <c r="F9" s="95"/>
      <c r="G9" s="95"/>
      <c r="H9" s="95"/>
      <c r="I9" s="95"/>
      <c r="J9" s="95"/>
      <c r="K9" s="84">
        <f>+(IF(AND(B9&gt;0,E9&gt;0),SUMIFS('2.CARGOS-SALARIOS'!$F$13:$F$105,'2.CARGOS-SALARIOS'!$D$13:$D$105,H9,'2.CARGOS-SALARIOS'!$E$13:$E$105,I9,'2.CARGOS-SALARIOS'!$C$13:$C$105,G9),0))</f>
        <v>0</v>
      </c>
      <c r="L9" s="84">
        <f>IF(K9&gt;0,((YEARFRAC(E9,$G$1,3))),0)</f>
        <v>0</v>
      </c>
      <c r="M9" s="81"/>
      <c r="N9" s="84">
        <f>+L9+M9</f>
        <v>0</v>
      </c>
      <c r="O9" s="81"/>
      <c r="P9" s="85">
        <f>+IF(AND(E9&gt;0,OR(MONTH($H$2)=3,MONTH($H$2)=6,MONTH($H$2)=9,MONTH($H$2)=12),MONTH(E9)&lt;=MONTH($H$2),MONTH(E9)&gt;=MONTH($H$2)-2),VLOOKUP(DAYS360(E9,$H$2),'1.DATOS'!$G$27:$I$42,2),0)</f>
        <v>0</v>
      </c>
      <c r="Q9" s="81"/>
      <c r="R9" s="81"/>
      <c r="S9" s="81"/>
      <c r="T9" s="81"/>
      <c r="U9" s="81"/>
      <c r="V9" s="81"/>
      <c r="W9" s="81"/>
      <c r="X9" s="81"/>
      <c r="Y9" s="98">
        <f>+K9</f>
        <v>0</v>
      </c>
      <c r="Z9" s="98">
        <v>0</v>
      </c>
      <c r="AA9" s="98">
        <v>0</v>
      </c>
      <c r="AB9" s="98">
        <v>0</v>
      </c>
      <c r="AC9" s="98">
        <v>0</v>
      </c>
      <c r="AD9" s="87">
        <f>IF(Y9&gt;0,(('1.DATOS'!D12*$AD$2)*V9),0)</f>
        <v>0</v>
      </c>
      <c r="AE9" s="87">
        <f>+IF(Y9&gt;0,(('1.DATOS'!D12*$AE$2)),0)</f>
        <v>0</v>
      </c>
      <c r="AF9" s="87" t="b">
        <f>+IF(Y9&gt;0,IF(OR(G9='1.DATOS'!H17,G9='1.DATOS'!H18),Y9*VLOOKUP(X9,'1.DATOS'!C16:E24,3,0),"No Aplica"))</f>
        <v>0</v>
      </c>
      <c r="AG9" s="98" t="b">
        <f>+IF(Y9&gt;0,Y9*0.015*N9)</f>
        <v>0</v>
      </c>
      <c r="AH9" s="98" t="str">
        <f>+IF(AND(Y9&gt;0,G9='1.DATOS'!$H$16,J9="SI"),'1.DATOS'!$D$10*$AH$2,"No Aplica")</f>
        <v>No Aplica</v>
      </c>
      <c r="AI9" s="98"/>
      <c r="AJ9" s="98"/>
      <c r="AK9" s="98"/>
      <c r="AL9" s="98"/>
      <c r="AM9" s="98">
        <f>SUM(Y9:AL9)</f>
        <v>0</v>
      </c>
      <c r="AN9" s="100" t="b">
        <f>+IF(Y9&gt;0,('1.DATOS'!$D$10*'1.DATOS'!$F$10*'1.DATOS'!$G$10)*VLOOKUP(I9,'1.DATOS'!$H$47:$I$60,2,FALSE()))</f>
        <v>0</v>
      </c>
      <c r="AO9" s="100"/>
      <c r="AP9" s="100">
        <v>0</v>
      </c>
      <c r="AQ9" s="100">
        <f>+((((AM9+AW9)+(AM9+AW9)/30*120/12))/30*105)*0</f>
        <v>0</v>
      </c>
      <c r="AR9" s="100">
        <f>+((((AM9+AW9)+(AM9+AW9)/30*105/12))/30*120)*0</f>
        <v>0</v>
      </c>
      <c r="AS9" s="100">
        <f>+((AM9*12)/52)*'1.DATOS'!$J$10</f>
        <v>0</v>
      </c>
      <c r="AT9" s="100">
        <f>+AM9*'1.DATOS'!$J$11</f>
        <v>0</v>
      </c>
      <c r="AU9" s="100">
        <f>((AM9*12)/52)*'1.DATOS'!$J$13</f>
        <v>0</v>
      </c>
      <c r="AV9" s="100">
        <f>+AM9*'1.DATOS'!$J$12</f>
        <v>0</v>
      </c>
      <c r="AW9" s="100">
        <f>+AM9*'1.DATOS'!$J$14</f>
        <v>0</v>
      </c>
      <c r="AX9" s="100">
        <f>+IF(OR('1.DATOS'!$D$4='1.DATOS'!$C$28,'1.DATOS'!$D$4='1.DATOS'!$C$31,'1.DATOS'!$D$4='1.DATOS'!$C$34,'1.DATOS'!$D$4='1.DATOS'!$C$37),AM9/30*530/360,"Falso")</f>
        <v>0</v>
      </c>
      <c r="AY9" s="100">
        <v>0</v>
      </c>
      <c r="AZ9" s="100" t="b">
        <f>+IF(AM9&gt;0,($AZ$2*'1.DATOS'!$D$10*T9))</f>
        <v>0</v>
      </c>
      <c r="BA9" s="100">
        <v>0</v>
      </c>
      <c r="BB9" s="100">
        <v>0</v>
      </c>
      <c r="BC9" s="100">
        <v>0</v>
      </c>
      <c r="BD9" s="100">
        <v>0</v>
      </c>
      <c r="BE9" s="88" t="b">
        <f>+IF(Y9&gt;0,('1.DATOS'!$C$10*$BE$2)*U9)</f>
        <v>0</v>
      </c>
      <c r="BF9" s="100">
        <f>+AM9*0.01</f>
        <v>0</v>
      </c>
      <c r="BG9" s="100">
        <v>0</v>
      </c>
      <c r="BH9" s="100">
        <v>0</v>
      </c>
      <c r="BI9" s="100">
        <v>0</v>
      </c>
      <c r="BJ9" s="100">
        <f>+(BH9+BI9)*0.12</f>
        <v>0</v>
      </c>
      <c r="BK9" s="100">
        <v>0</v>
      </c>
      <c r="BL9" s="100">
        <v>0</v>
      </c>
      <c r="BM9" s="100">
        <v>0</v>
      </c>
      <c r="BN9" s="100">
        <v>0</v>
      </c>
      <c r="BO9" s="65">
        <f>+SUM(AM9:BN9)</f>
        <v>0</v>
      </c>
      <c r="BP9" s="101"/>
      <c r="ALZ9"/>
      <c r="AMA9"/>
      <c r="AMB9"/>
      <c r="AMC9"/>
      <c r="AMD9"/>
      <c r="AME9"/>
      <c r="AMF9"/>
      <c r="AMG9"/>
      <c r="AMH9"/>
      <c r="AMI9"/>
      <c r="AMJ9"/>
    </row>
    <row r="10" spans="1:1024" ht="15.75" x14ac:dyDescent="0.25">
      <c r="A10" s="93"/>
      <c r="B10" s="94"/>
      <c r="C10" s="95"/>
      <c r="D10" s="95"/>
      <c r="E10" s="96"/>
      <c r="F10" s="95"/>
      <c r="G10" s="95"/>
      <c r="H10" s="95"/>
      <c r="I10" s="95"/>
      <c r="J10" s="95"/>
      <c r="K10" s="84"/>
      <c r="L10" s="84"/>
      <c r="M10" s="81"/>
      <c r="N10" s="84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65"/>
      <c r="BP10" s="101"/>
    </row>
    <row r="11" spans="1:1024" ht="24" customHeight="1" x14ac:dyDescent="0.25">
      <c r="A11" s="222" t="s">
        <v>359</v>
      </c>
      <c r="B11" s="222"/>
      <c r="C11" s="222"/>
      <c r="D11" s="222"/>
      <c r="E11" s="222"/>
      <c r="F11" s="222"/>
      <c r="G11" s="222"/>
      <c r="H11" s="222"/>
      <c r="I11" s="222"/>
      <c r="J11" s="22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Q11"/>
    </row>
    <row r="12" spans="1:1024" ht="15.75" x14ac:dyDescent="0.2">
      <c r="A12" s="104"/>
      <c r="B12" s="104"/>
      <c r="C12" s="104"/>
      <c r="D12" s="104"/>
      <c r="E12" s="104"/>
      <c r="F12" s="105"/>
      <c r="G12" s="105"/>
      <c r="H12" s="105"/>
      <c r="I12" s="105"/>
      <c r="J12" s="10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Q12"/>
    </row>
    <row r="13" spans="1:1024" x14ac:dyDescent="0.2">
      <c r="H13"/>
      <c r="I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Q13"/>
    </row>
    <row r="14" spans="1:1024" x14ac:dyDescent="0.2">
      <c r="H14"/>
      <c r="I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Q14"/>
    </row>
    <row r="15" spans="1:1024" ht="18" x14ac:dyDescent="0.25">
      <c r="H15" s="110" t="s">
        <v>249</v>
      </c>
      <c r="I15" s="111">
        <f>+COUNTA(B7:B10)</f>
        <v>0</v>
      </c>
      <c r="K15" s="112">
        <f t="shared" ref="K15:W15" si="0">SUM(K7:K10)</f>
        <v>0</v>
      </c>
      <c r="L15" s="112">
        <f t="shared" si="0"/>
        <v>0</v>
      </c>
      <c r="M15" s="112">
        <f t="shared" si="0"/>
        <v>0</v>
      </c>
      <c r="N15" s="112">
        <f t="shared" si="0"/>
        <v>0</v>
      </c>
      <c r="O15" s="112">
        <f t="shared" si="0"/>
        <v>0</v>
      </c>
      <c r="P15" s="112">
        <f t="shared" si="0"/>
        <v>0</v>
      </c>
      <c r="Q15" s="112">
        <f t="shared" si="0"/>
        <v>0</v>
      </c>
      <c r="R15" s="112">
        <f t="shared" si="0"/>
        <v>0</v>
      </c>
      <c r="S15" s="112">
        <f t="shared" si="0"/>
        <v>0</v>
      </c>
      <c r="T15" s="112">
        <f t="shared" si="0"/>
        <v>0</v>
      </c>
      <c r="U15" s="112">
        <f t="shared" si="0"/>
        <v>0</v>
      </c>
      <c r="V15" s="112">
        <f t="shared" si="0"/>
        <v>0</v>
      </c>
      <c r="W15" s="112">
        <f t="shared" si="0"/>
        <v>0</v>
      </c>
      <c r="X15" s="113"/>
      <c r="Y15" s="112">
        <f t="shared" ref="Y15:AH15" si="1">SUM(Y7:Y10)</f>
        <v>0</v>
      </c>
      <c r="Z15" s="112">
        <f t="shared" si="1"/>
        <v>0</v>
      </c>
      <c r="AA15" s="112">
        <f t="shared" si="1"/>
        <v>0</v>
      </c>
      <c r="AB15" s="112">
        <f t="shared" si="1"/>
        <v>0</v>
      </c>
      <c r="AC15" s="112">
        <f t="shared" si="1"/>
        <v>0</v>
      </c>
      <c r="AD15" s="112">
        <f t="shared" si="1"/>
        <v>0</v>
      </c>
      <c r="AE15" s="112">
        <f t="shared" si="1"/>
        <v>0</v>
      </c>
      <c r="AF15" s="112">
        <f t="shared" si="1"/>
        <v>0</v>
      </c>
      <c r="AG15" s="112">
        <f t="shared" si="1"/>
        <v>0</v>
      </c>
      <c r="AH15" s="112">
        <f t="shared" si="1"/>
        <v>0</v>
      </c>
      <c r="AI15" s="112"/>
      <c r="AJ15" s="112"/>
      <c r="AK15" s="112"/>
      <c r="AL15" s="112">
        <f>SUM(AL7:AL10)</f>
        <v>0</v>
      </c>
      <c r="AM15" s="112">
        <f>SUM(AM7:AM10)</f>
        <v>0</v>
      </c>
      <c r="AN15" s="112">
        <f>SUM(AN7:AN10)</f>
        <v>0</v>
      </c>
      <c r="AO15" s="112"/>
      <c r="AP15" s="112">
        <f t="shared" ref="AP15:BN15" si="2">SUM(AP7:AP10)</f>
        <v>0</v>
      </c>
      <c r="AQ15" s="112">
        <f t="shared" si="2"/>
        <v>0</v>
      </c>
      <c r="AR15" s="112">
        <f t="shared" si="2"/>
        <v>0</v>
      </c>
      <c r="AS15" s="112">
        <f t="shared" si="2"/>
        <v>0</v>
      </c>
      <c r="AT15" s="112">
        <f t="shared" si="2"/>
        <v>0</v>
      </c>
      <c r="AU15" s="112">
        <f t="shared" si="2"/>
        <v>0</v>
      </c>
      <c r="AV15" s="112">
        <f t="shared" si="2"/>
        <v>0</v>
      </c>
      <c r="AW15" s="112">
        <f t="shared" si="2"/>
        <v>0</v>
      </c>
      <c r="AX15" s="112">
        <f t="shared" si="2"/>
        <v>0</v>
      </c>
      <c r="AY15" s="112">
        <f t="shared" si="2"/>
        <v>0</v>
      </c>
      <c r="AZ15" s="112">
        <f t="shared" si="2"/>
        <v>0</v>
      </c>
      <c r="BA15" s="112">
        <f t="shared" si="2"/>
        <v>0</v>
      </c>
      <c r="BB15" s="112">
        <f t="shared" si="2"/>
        <v>0</v>
      </c>
      <c r="BC15" s="112">
        <f t="shared" si="2"/>
        <v>0</v>
      </c>
      <c r="BD15" s="112">
        <f t="shared" si="2"/>
        <v>0</v>
      </c>
      <c r="BE15" s="112">
        <f t="shared" si="2"/>
        <v>0</v>
      </c>
      <c r="BF15" s="112">
        <f t="shared" si="2"/>
        <v>0</v>
      </c>
      <c r="BG15" s="112">
        <f t="shared" si="2"/>
        <v>0</v>
      </c>
      <c r="BH15" s="112">
        <f t="shared" si="2"/>
        <v>0</v>
      </c>
      <c r="BI15" s="112">
        <f t="shared" si="2"/>
        <v>0</v>
      </c>
      <c r="BJ15" s="112">
        <f t="shared" si="2"/>
        <v>0</v>
      </c>
      <c r="BK15" s="112">
        <f t="shared" si="2"/>
        <v>0</v>
      </c>
      <c r="BL15" s="112">
        <f t="shared" si="2"/>
        <v>0</v>
      </c>
      <c r="BM15" s="112">
        <f t="shared" si="2"/>
        <v>0</v>
      </c>
      <c r="BN15" s="112">
        <f t="shared" si="2"/>
        <v>0</v>
      </c>
      <c r="BO15" s="114">
        <f>SUM(BO7:BO9)</f>
        <v>0</v>
      </c>
      <c r="BQ15" s="101"/>
    </row>
  </sheetData>
  <mergeCells count="26">
    <mergeCell ref="A6:P6"/>
    <mergeCell ref="A11:J11"/>
    <mergeCell ref="BF3:BL3"/>
    <mergeCell ref="BM3:BN3"/>
    <mergeCell ref="A4:K4"/>
    <mergeCell ref="L4:P4"/>
    <mergeCell ref="Q4:X4"/>
    <mergeCell ref="Y4:AC4"/>
    <mergeCell ref="AD4:AH4"/>
    <mergeCell ref="AM4:AM5"/>
    <mergeCell ref="AN4:AP4"/>
    <mergeCell ref="AQ4:AR4"/>
    <mergeCell ref="AS4:AY4"/>
    <mergeCell ref="AZ4:BE4"/>
    <mergeCell ref="BF4:BL4"/>
    <mergeCell ref="BM4:BN4"/>
    <mergeCell ref="AM1:AM3"/>
    <mergeCell ref="AN1:AP2"/>
    <mergeCell ref="AS1:AX2"/>
    <mergeCell ref="AB2:AC2"/>
    <mergeCell ref="AB3:AC3"/>
    <mergeCell ref="A1:E3"/>
    <mergeCell ref="F1:F3"/>
    <mergeCell ref="G1:G3"/>
    <mergeCell ref="AB1:AC1"/>
    <mergeCell ref="AF1:AG2"/>
  </mergeCells>
  <dataValidations count="1">
    <dataValidation type="list" operator="equal" allowBlank="1" showErrorMessage="1" sqref="J7:J10">
      <formula1>"SI,NO"</formula1>
      <formula2>0</formula2>
    </dataValidation>
  </dataValidations>
  <pageMargins left="0.31527777777777799" right="0.39374999999999999" top="0.74791666666666701" bottom="0.47222222222222199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equal" allowBlank="1" showErrorMessage="1">
          <x14:formula1>
            <xm:f>'1.DATOS'!$H$10:$H$11</xm:f>
          </x14:formula1>
          <x14:formula2>
            <xm:f>0</xm:f>
          </x14:formula2>
          <xm:sqref>D7:D9</xm:sqref>
        </x14:dataValidation>
        <x14:dataValidation type="list" operator="equal" allowBlank="1" showErrorMessage="1">
          <x14:formula1>
            <xm:f>'1.DATOS'!$H$16</xm:f>
          </x14:formula1>
          <x14:formula2>
            <xm:f>0</xm:f>
          </x14:formula2>
          <xm:sqref>F7:F9</xm:sqref>
        </x14:dataValidation>
        <x14:dataValidation type="list" operator="equal" allowBlank="1" showErrorMessage="1">
          <x14:formula1>
            <xm:f>'1.DATOS'!$H$16</xm:f>
          </x14:formula1>
          <x14:formula2>
            <xm:f>0</xm:f>
          </x14:formula2>
          <xm:sqref>G7:G9</xm:sqref>
        </x14:dataValidation>
        <x14:dataValidation type="list" operator="equal" allowBlank="1" showErrorMessage="1">
          <x14:formula1>
            <xm:f>'2.CARGOS-SALARIOS'!$I$37:$I$41</xm:f>
          </x14:formula1>
          <x14:formula2>
            <xm:f>0</xm:f>
          </x14:formula2>
          <xm:sqref>H7:H9</xm:sqref>
        </x14:dataValidation>
        <x14:dataValidation type="list" operator="equal" allowBlank="1" showErrorMessage="1">
          <x14:formula1>
            <xm:f>'2.CARGOS-SALARIOS'!$J$22</xm:f>
          </x14:formula1>
          <x14:formula2>
            <xm:f>0</xm:f>
          </x14:formula2>
          <xm:sqref>I7:I9</xm:sqref>
        </x14:dataValidation>
        <x14:dataValidation type="list" operator="equal" allowBlank="1" showErrorMessage="1">
          <x14:formula1>
            <xm:f>'1.DATOS'!$C$15:$C$22</xm:f>
          </x14:formula1>
          <x14:formula2>
            <xm:f>0</xm:f>
          </x14:formula2>
          <xm:sqref>X7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AMJ15"/>
  <sheetViews>
    <sheetView showGridLines="0" topLeftCell="AV1" zoomScale="60" zoomScaleNormal="60" workbookViewId="0">
      <selection activeCell="BJ6" sqref="BJ6"/>
    </sheetView>
  </sheetViews>
  <sheetFormatPr baseColWidth="10" defaultColWidth="9.140625" defaultRowHeight="12.75" x14ac:dyDescent="0.2"/>
  <cols>
    <col min="1" max="1" width="7.85546875" style="53" customWidth="1"/>
    <col min="2" max="2" width="19.5703125" style="53" customWidth="1"/>
    <col min="3" max="3" width="20.5703125" style="53" customWidth="1"/>
    <col min="4" max="4" width="22.42578125" style="53" customWidth="1"/>
    <col min="5" max="5" width="13" style="53" customWidth="1"/>
    <col min="6" max="6" width="15.42578125" style="54" customWidth="1"/>
    <col min="7" max="7" width="21.42578125" style="54" customWidth="1"/>
    <col min="8" max="8" width="32.28515625" style="54" customWidth="1"/>
    <col min="9" max="9" width="24.7109375" style="54" customWidth="1"/>
    <col min="10" max="11" width="18.140625" style="54" customWidth="1"/>
    <col min="12" max="12" width="15.85546875" style="54" customWidth="1"/>
    <col min="13" max="13" width="13.140625" style="54" customWidth="1"/>
    <col min="14" max="14" width="12.7109375" style="54" customWidth="1"/>
    <col min="15" max="23" width="15.28515625" style="54" customWidth="1"/>
    <col min="24" max="24" width="19.5703125" style="54" customWidth="1"/>
    <col min="25" max="25" width="15.5703125" style="55" customWidth="1"/>
    <col min="26" max="26" width="15.42578125" style="55" customWidth="1"/>
    <col min="27" max="34" width="16.5703125" style="55" customWidth="1"/>
    <col min="35" max="37" width="23.85546875" style="55" customWidth="1"/>
    <col min="38" max="39" width="17.85546875" style="55" customWidth="1"/>
    <col min="40" max="40" width="21.28515625" style="55" customWidth="1"/>
    <col min="41" max="41" width="21.5703125" style="55" customWidth="1"/>
    <col min="42" max="42" width="19.140625" style="55" customWidth="1"/>
    <col min="43" max="43" width="21.28515625" style="55" customWidth="1"/>
    <col min="44" max="44" width="21.5703125" style="55" customWidth="1"/>
    <col min="45" max="45" width="19.140625" style="55" customWidth="1"/>
    <col min="46" max="47" width="21.42578125" style="55" customWidth="1"/>
    <col min="48" max="48" width="22.42578125" style="55" customWidth="1"/>
    <col min="49" max="49" width="21.42578125" style="55" customWidth="1"/>
    <col min="50" max="50" width="15.42578125" style="54" customWidth="1"/>
    <col min="51" max="55" width="12.42578125" style="54" customWidth="1"/>
    <col min="56" max="56" width="20" style="54" customWidth="1"/>
    <col min="57" max="57" width="17.140625" style="54" customWidth="1"/>
    <col min="58" max="58" width="16.28515625" style="54" customWidth="1"/>
    <col min="59" max="59" width="14.85546875" style="54" customWidth="1"/>
    <col min="60" max="60" width="15.7109375" style="54" customWidth="1"/>
    <col min="61" max="61" width="12.42578125" style="54" customWidth="1"/>
    <col min="62" max="63" width="16.5703125" style="54" customWidth="1"/>
    <col min="64" max="66" width="12.42578125" style="54" customWidth="1"/>
    <col min="67" max="67" width="15.7109375" style="54" customWidth="1"/>
    <col min="68" max="71" width="12.42578125" style="54" customWidth="1"/>
    <col min="72" max="72" width="17.7109375" style="54" customWidth="1"/>
    <col min="73" max="73" width="22.42578125" style="54" customWidth="1"/>
    <col min="74" max="74" width="13.42578125" style="54" customWidth="1"/>
    <col min="75" max="75" width="10.5703125" style="54" customWidth="1"/>
    <col min="76" max="1002" width="9.5703125" style="54" customWidth="1"/>
    <col min="1003" max="1025" width="8.5703125" customWidth="1"/>
  </cols>
  <sheetData>
    <row r="1" spans="1:1024" ht="33" customHeight="1" x14ac:dyDescent="0.2">
      <c r="A1" s="5" t="s">
        <v>360</v>
      </c>
      <c r="B1" s="5"/>
      <c r="C1" s="5"/>
      <c r="D1" s="5"/>
      <c r="E1" s="5"/>
      <c r="F1" s="5"/>
      <c r="G1" s="4" t="s">
        <v>51</v>
      </c>
      <c r="H1" s="3">
        <f>+'1.DATOS'!F4</f>
        <v>43373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 s="2" t="s">
        <v>132</v>
      </c>
      <c r="AD1" s="2"/>
      <c r="AE1" s="57" t="s">
        <v>133</v>
      </c>
      <c r="AF1" s="57" t="s">
        <v>133</v>
      </c>
      <c r="AG1" s="57" t="s">
        <v>133</v>
      </c>
      <c r="AH1" s="1" t="s">
        <v>134</v>
      </c>
      <c r="AI1" s="1"/>
      <c r="AJ1" s="57" t="s">
        <v>133</v>
      </c>
      <c r="AK1" s="1" t="s">
        <v>134</v>
      </c>
      <c r="AL1" s="1"/>
      <c r="AM1" s="1"/>
      <c r="AN1" s="58"/>
      <c r="AO1" s="58"/>
      <c r="AP1" s="58"/>
      <c r="AQ1" s="58"/>
      <c r="AR1" s="209"/>
      <c r="AS1" s="1" t="s">
        <v>134</v>
      </c>
      <c r="AT1" s="1"/>
      <c r="AU1" s="1"/>
      <c r="AV1" s="57" t="s">
        <v>135</v>
      </c>
      <c r="AW1" s="57" t="s">
        <v>135</v>
      </c>
      <c r="AX1" s="1" t="s">
        <v>134</v>
      </c>
      <c r="AY1" s="1"/>
      <c r="AZ1" s="1"/>
      <c r="BA1" s="1"/>
      <c r="BB1" s="1"/>
      <c r="BC1" s="1"/>
      <c r="BD1"/>
      <c r="BE1" s="57" t="s">
        <v>133</v>
      </c>
      <c r="BF1" s="57" t="s">
        <v>133</v>
      </c>
      <c r="BG1" s="57" t="s">
        <v>133</v>
      </c>
      <c r="BH1" s="57" t="s">
        <v>133</v>
      </c>
      <c r="BI1" s="57" t="s">
        <v>133</v>
      </c>
      <c r="BJ1" s="57"/>
      <c r="BK1" s="57" t="s">
        <v>136</v>
      </c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</row>
    <row r="2" spans="1:1024" ht="27.95" customHeight="1" x14ac:dyDescent="0.2">
      <c r="A2" s="5"/>
      <c r="B2" s="5"/>
      <c r="C2" s="5"/>
      <c r="D2" s="5"/>
      <c r="E2" s="5"/>
      <c r="F2" s="5"/>
      <c r="G2" s="4"/>
      <c r="H2" s="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 s="210" t="s">
        <v>137</v>
      </c>
      <c r="AD2" s="210"/>
      <c r="AE2" s="60">
        <v>200</v>
      </c>
      <c r="AF2" s="60">
        <v>300</v>
      </c>
      <c r="AG2" s="60">
        <v>50</v>
      </c>
      <c r="AH2" s="1"/>
      <c r="AI2" s="1"/>
      <c r="AJ2" s="60">
        <v>50</v>
      </c>
      <c r="AK2" s="1"/>
      <c r="AL2" s="1"/>
      <c r="AM2" s="1"/>
      <c r="AN2" s="58"/>
      <c r="AO2" s="58"/>
      <c r="AP2" s="58"/>
      <c r="AQ2" s="58"/>
      <c r="AR2" s="209"/>
      <c r="AS2" s="1"/>
      <c r="AT2" s="1"/>
      <c r="AU2" s="1"/>
      <c r="AV2" s="60">
        <v>105</v>
      </c>
      <c r="AW2" s="60">
        <v>120</v>
      </c>
      <c r="AX2" s="1"/>
      <c r="AY2" s="1"/>
      <c r="AZ2" s="1"/>
      <c r="BA2" s="1"/>
      <c r="BB2" s="1"/>
      <c r="BC2" s="1"/>
      <c r="BD2"/>
      <c r="BE2" s="60">
        <v>50</v>
      </c>
      <c r="BF2" s="60">
        <v>200</v>
      </c>
      <c r="BG2" s="60">
        <v>100</v>
      </c>
      <c r="BH2" s="60">
        <v>300</v>
      </c>
      <c r="BI2" s="60">
        <v>100</v>
      </c>
      <c r="BJ2" s="60"/>
      <c r="BK2" s="61">
        <v>0.4</v>
      </c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</row>
    <row r="3" spans="1:1024" s="54" customFormat="1" ht="30.75" customHeight="1" x14ac:dyDescent="0.25">
      <c r="A3" s="5"/>
      <c r="B3" s="5"/>
      <c r="C3" s="5"/>
      <c r="D3" s="5"/>
      <c r="E3" s="5"/>
      <c r="F3" s="5"/>
      <c r="G3" s="4"/>
      <c r="H3" s="3"/>
      <c r="AC3" s="211" t="s">
        <v>138</v>
      </c>
      <c r="AD3" s="211"/>
      <c r="AE3" s="62" t="s">
        <v>139</v>
      </c>
      <c r="AF3" s="62" t="s">
        <v>140</v>
      </c>
      <c r="AG3" s="62" t="s">
        <v>141</v>
      </c>
      <c r="AH3" s="62" t="s">
        <v>142</v>
      </c>
      <c r="AI3" s="62" t="s">
        <v>143</v>
      </c>
      <c r="AJ3" s="62" t="s">
        <v>144</v>
      </c>
      <c r="AK3" s="62" t="s">
        <v>145</v>
      </c>
      <c r="AL3" s="62" t="s">
        <v>146</v>
      </c>
      <c r="AM3" s="62" t="s">
        <v>147</v>
      </c>
      <c r="AN3" s="63"/>
      <c r="AO3" s="63"/>
      <c r="AP3" s="63"/>
      <c r="AQ3" s="63"/>
      <c r="AR3" s="209"/>
      <c r="AS3" s="62" t="s">
        <v>148</v>
      </c>
      <c r="AT3" s="62"/>
      <c r="AU3" s="62" t="s">
        <v>148</v>
      </c>
      <c r="AV3" s="62" t="s">
        <v>149</v>
      </c>
      <c r="AW3" s="62" t="s">
        <v>150</v>
      </c>
      <c r="AX3" s="62" t="s">
        <v>148</v>
      </c>
      <c r="AY3" s="62" t="s">
        <v>148</v>
      </c>
      <c r="AZ3" s="62" t="s">
        <v>148</v>
      </c>
      <c r="BA3" s="62" t="s">
        <v>148</v>
      </c>
      <c r="BB3" s="62" t="s">
        <v>148</v>
      </c>
      <c r="BC3" s="62" t="s">
        <v>148</v>
      </c>
      <c r="BD3"/>
      <c r="BE3" s="62" t="s">
        <v>151</v>
      </c>
      <c r="BF3" s="62" t="s">
        <v>152</v>
      </c>
      <c r="BG3" s="62" t="s">
        <v>153</v>
      </c>
      <c r="BH3" s="62" t="s">
        <v>154</v>
      </c>
      <c r="BI3" s="62" t="s">
        <v>155</v>
      </c>
      <c r="BJ3" s="62"/>
      <c r="BK3" s="62" t="s">
        <v>148</v>
      </c>
      <c r="BL3" s="238"/>
      <c r="BM3" s="238"/>
      <c r="BN3" s="238"/>
      <c r="BO3" s="238"/>
      <c r="BP3" s="238"/>
      <c r="BQ3" s="238"/>
      <c r="BR3" s="238"/>
      <c r="BS3" s="238"/>
      <c r="BT3" s="238"/>
      <c r="BU3" s="168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49.5" customHeight="1" x14ac:dyDescent="0.25">
      <c r="A4" s="212" t="s">
        <v>156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 t="s">
        <v>157</v>
      </c>
      <c r="M4" s="213"/>
      <c r="N4" s="213"/>
      <c r="O4" s="213"/>
      <c r="P4" s="213"/>
      <c r="Q4" s="212" t="s">
        <v>158</v>
      </c>
      <c r="R4" s="212"/>
      <c r="S4" s="212"/>
      <c r="T4" s="212"/>
      <c r="U4" s="212"/>
      <c r="V4" s="212"/>
      <c r="W4" s="212"/>
      <c r="X4" s="212"/>
      <c r="Y4" s="209" t="s">
        <v>102</v>
      </c>
      <c r="Z4" s="209"/>
      <c r="AA4" s="209"/>
      <c r="AB4" s="209"/>
      <c r="AC4" s="209"/>
      <c r="AD4" s="209"/>
      <c r="AE4" s="214" t="s">
        <v>159</v>
      </c>
      <c r="AF4" s="214"/>
      <c r="AG4" s="214"/>
      <c r="AH4" s="214"/>
      <c r="AI4" s="214"/>
      <c r="AJ4" s="214"/>
      <c r="AK4" s="214"/>
      <c r="AL4" s="214"/>
      <c r="AM4" s="214"/>
      <c r="AN4" s="64"/>
      <c r="AO4" s="64"/>
      <c r="AP4" s="64"/>
      <c r="AQ4" s="64"/>
      <c r="AR4" s="209" t="s">
        <v>160</v>
      </c>
      <c r="AS4" s="239" t="s">
        <v>253</v>
      </c>
      <c r="AT4" s="239"/>
      <c r="AU4" s="239"/>
      <c r="AV4" s="240" t="s">
        <v>255</v>
      </c>
      <c r="AW4" s="240"/>
      <c r="AX4" s="217" t="s">
        <v>12</v>
      </c>
      <c r="AY4" s="217"/>
      <c r="AZ4" s="217"/>
      <c r="BA4" s="217"/>
      <c r="BB4" s="217"/>
      <c r="BC4" s="217"/>
      <c r="BD4" s="217"/>
      <c r="BE4" s="218" t="s">
        <v>163</v>
      </c>
      <c r="BF4" s="218"/>
      <c r="BG4" s="218"/>
      <c r="BH4" s="218"/>
      <c r="BI4" s="218"/>
      <c r="BJ4" s="218"/>
      <c r="BK4" s="218"/>
      <c r="BL4" s="219" t="s">
        <v>164</v>
      </c>
      <c r="BM4" s="219"/>
      <c r="BN4" s="219"/>
      <c r="BO4" s="219"/>
      <c r="BP4" s="219"/>
      <c r="BQ4" s="219"/>
      <c r="BR4" s="219"/>
      <c r="BS4" s="220" t="s">
        <v>165</v>
      </c>
      <c r="BT4" s="220"/>
      <c r="BU4" s="65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</row>
    <row r="5" spans="1:1024" s="75" customFormat="1" ht="128.25" customHeight="1" x14ac:dyDescent="0.2">
      <c r="A5" s="66" t="s">
        <v>98</v>
      </c>
      <c r="B5" s="67" t="s">
        <v>166</v>
      </c>
      <c r="C5" s="67" t="s">
        <v>167</v>
      </c>
      <c r="D5" s="67" t="s">
        <v>168</v>
      </c>
      <c r="E5" s="66" t="s">
        <v>169</v>
      </c>
      <c r="F5" s="66" t="s">
        <v>170</v>
      </c>
      <c r="G5" s="66" t="s">
        <v>21</v>
      </c>
      <c r="H5" s="66" t="s">
        <v>171</v>
      </c>
      <c r="I5" s="66" t="s">
        <v>70</v>
      </c>
      <c r="J5" s="66" t="s">
        <v>172</v>
      </c>
      <c r="K5" s="66" t="s">
        <v>173</v>
      </c>
      <c r="L5" s="66" t="s">
        <v>174</v>
      </c>
      <c r="M5" s="66" t="s">
        <v>175</v>
      </c>
      <c r="N5" s="66" t="s">
        <v>176</v>
      </c>
      <c r="O5" s="66" t="s">
        <v>177</v>
      </c>
      <c r="P5" s="66" t="s">
        <v>178</v>
      </c>
      <c r="Q5" s="66" t="s">
        <v>319</v>
      </c>
      <c r="R5" s="66" t="s">
        <v>320</v>
      </c>
      <c r="S5" s="66" t="s">
        <v>321</v>
      </c>
      <c r="T5" s="66" t="s">
        <v>182</v>
      </c>
      <c r="U5" s="66" t="s">
        <v>183</v>
      </c>
      <c r="V5" s="66" t="s">
        <v>184</v>
      </c>
      <c r="W5" s="66" t="s">
        <v>185</v>
      </c>
      <c r="X5" s="66" t="s">
        <v>267</v>
      </c>
      <c r="Y5" s="68" t="s">
        <v>322</v>
      </c>
      <c r="Z5" s="68" t="s">
        <v>361</v>
      </c>
      <c r="AA5" s="68" t="s">
        <v>323</v>
      </c>
      <c r="AB5" s="68" t="s">
        <v>324</v>
      </c>
      <c r="AC5" s="68" t="s">
        <v>325</v>
      </c>
      <c r="AD5" s="68" t="s">
        <v>326</v>
      </c>
      <c r="AE5" s="69" t="s">
        <v>192</v>
      </c>
      <c r="AF5" s="69" t="s">
        <v>193</v>
      </c>
      <c r="AG5" s="69" t="s">
        <v>194</v>
      </c>
      <c r="AH5" s="69" t="s">
        <v>18</v>
      </c>
      <c r="AI5" s="69" t="s">
        <v>195</v>
      </c>
      <c r="AJ5" s="69" t="s">
        <v>196</v>
      </c>
      <c r="AK5" s="69" t="s">
        <v>197</v>
      </c>
      <c r="AL5" s="69" t="s">
        <v>198</v>
      </c>
      <c r="AM5" s="69" t="s">
        <v>199</v>
      </c>
      <c r="AN5" s="69" t="s">
        <v>327</v>
      </c>
      <c r="AO5" s="69" t="s">
        <v>327</v>
      </c>
      <c r="AP5" s="69" t="s">
        <v>327</v>
      </c>
      <c r="AQ5" s="69" t="s">
        <v>200</v>
      </c>
      <c r="AR5" s="209"/>
      <c r="AS5" s="70" t="s">
        <v>328</v>
      </c>
      <c r="AT5" s="70" t="s">
        <v>327</v>
      </c>
      <c r="AU5" s="70" t="s">
        <v>330</v>
      </c>
      <c r="AV5" s="69" t="s">
        <v>331</v>
      </c>
      <c r="AW5" s="69" t="s">
        <v>332</v>
      </c>
      <c r="AX5" s="70" t="s">
        <v>333</v>
      </c>
      <c r="AY5" s="70" t="s">
        <v>334</v>
      </c>
      <c r="AZ5" s="70" t="s">
        <v>335</v>
      </c>
      <c r="BA5" s="70" t="s">
        <v>336</v>
      </c>
      <c r="BB5" s="70" t="s">
        <v>337</v>
      </c>
      <c r="BC5" s="70" t="s">
        <v>338</v>
      </c>
      <c r="BD5" s="70" t="s">
        <v>339</v>
      </c>
      <c r="BE5" s="71" t="s">
        <v>213</v>
      </c>
      <c r="BF5" s="71" t="s">
        <v>214</v>
      </c>
      <c r="BG5" s="71" t="s">
        <v>215</v>
      </c>
      <c r="BH5" s="71" t="s">
        <v>216</v>
      </c>
      <c r="BI5" s="71" t="s">
        <v>217</v>
      </c>
      <c r="BJ5" s="71" t="s">
        <v>362</v>
      </c>
      <c r="BK5" s="71" t="s">
        <v>218</v>
      </c>
      <c r="BL5" s="72" t="s">
        <v>219</v>
      </c>
      <c r="BM5" s="72" t="s">
        <v>298</v>
      </c>
      <c r="BN5" s="72" t="s">
        <v>299</v>
      </c>
      <c r="BO5" s="72" t="s">
        <v>222</v>
      </c>
      <c r="BP5" s="72" t="s">
        <v>223</v>
      </c>
      <c r="BQ5" s="72" t="s">
        <v>224</v>
      </c>
      <c r="BR5" s="72" t="s">
        <v>225</v>
      </c>
      <c r="BS5" s="72" t="s">
        <v>226</v>
      </c>
      <c r="BT5" s="72" t="s">
        <v>227</v>
      </c>
      <c r="BU5" s="73" t="s">
        <v>304</v>
      </c>
      <c r="BV5" s="74"/>
      <c r="BW5" s="74"/>
      <c r="ALO5" s="74"/>
      <c r="ALP5" s="74"/>
      <c r="ALQ5" s="74"/>
      <c r="ALR5" s="74"/>
      <c r="ALS5" s="74"/>
      <c r="ALT5" s="74"/>
      <c r="ALU5" s="74"/>
      <c r="ALV5" s="74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2.7" customHeight="1" x14ac:dyDescent="0.2">
      <c r="A6" s="221" t="s">
        <v>229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76"/>
      <c r="R6" s="76"/>
      <c r="S6" s="76"/>
      <c r="T6" s="77"/>
      <c r="U6" s="77"/>
      <c r="V6" s="77"/>
      <c r="W6" s="77"/>
      <c r="X6" s="77"/>
      <c r="Y6" s="78" t="s">
        <v>363</v>
      </c>
      <c r="Z6" s="78" t="s">
        <v>364</v>
      </c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 t="s">
        <v>231</v>
      </c>
      <c r="AT6" s="78"/>
      <c r="AU6" s="78"/>
      <c r="AV6" s="78" t="s">
        <v>232</v>
      </c>
      <c r="AW6" s="78" t="s">
        <v>233</v>
      </c>
      <c r="AX6" s="78" t="s">
        <v>234</v>
      </c>
      <c r="AY6" s="78" t="s">
        <v>235</v>
      </c>
      <c r="AZ6" s="78" t="s">
        <v>236</v>
      </c>
      <c r="BA6" s="78" t="s">
        <v>237</v>
      </c>
      <c r="BB6" s="78" t="s">
        <v>238</v>
      </c>
      <c r="BC6" s="78" t="s">
        <v>239</v>
      </c>
      <c r="BD6" s="78" t="s">
        <v>240</v>
      </c>
      <c r="BE6" s="78"/>
      <c r="BF6" s="78"/>
      <c r="BG6" s="78"/>
      <c r="BH6" s="78"/>
      <c r="BI6" s="78"/>
      <c r="BJ6" s="78"/>
      <c r="BK6" s="78"/>
      <c r="BL6" s="78" t="s">
        <v>241</v>
      </c>
      <c r="BM6" s="78" t="s">
        <v>242</v>
      </c>
      <c r="BN6" s="78" t="s">
        <v>243</v>
      </c>
      <c r="BO6" s="78" t="s">
        <v>244</v>
      </c>
      <c r="BP6" s="78" t="s">
        <v>245</v>
      </c>
      <c r="BQ6" s="78" t="s">
        <v>246</v>
      </c>
      <c r="BR6" s="78" t="s">
        <v>247</v>
      </c>
      <c r="BS6" s="78" t="s">
        <v>248</v>
      </c>
      <c r="BT6" s="78" t="s">
        <v>248</v>
      </c>
      <c r="BU6" s="78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</row>
    <row r="7" spans="1:1024" ht="22.9" customHeight="1" x14ac:dyDescent="0.25">
      <c r="A7" s="93">
        <v>1</v>
      </c>
      <c r="B7" s="94"/>
      <c r="C7" s="95"/>
      <c r="D7" s="95"/>
      <c r="E7" s="96"/>
      <c r="F7" s="95"/>
      <c r="G7" s="95"/>
      <c r="H7" s="95"/>
      <c r="I7" s="95"/>
      <c r="J7" s="95"/>
      <c r="K7" s="84">
        <f>+(IF(AND(B7&gt;0,E7&gt;0),SUMIFS('2.CARGOS-SALARIOS'!$F$13:$F$105,'2.CARGOS-SALARIOS'!$D$13:$D$105,H7,'2.CARGOS-SALARIOS'!$E$13:$E$105,I7,'2.CARGOS-SALARIOS'!$C$13:$C$105,G7),0))</f>
        <v>0</v>
      </c>
      <c r="L7" s="84">
        <f>IF(K7&gt;0,((YEARFRAC(E7,$H$1,3))),0)</f>
        <v>0</v>
      </c>
      <c r="M7" s="81"/>
      <c r="N7" s="84">
        <f>+L7+M7</f>
        <v>0</v>
      </c>
      <c r="O7" s="81"/>
      <c r="P7" s="85">
        <f>+IF(AND(E7&gt;0,OR(MONTH($H$2)=3,MONTH($H$2)=6,MONTH($H$2)=9,MONTH($H$2)=12),MONTH(E7)&lt;=MONTH($H$2),MONTH(E7)&gt;=MONTH($H$2)-2),VLOOKUP(DAYS360(E7,$H$2),'1.DATOS'!$G$27:$I$42,2),0)</f>
        <v>0</v>
      </c>
      <c r="Q7" s="81"/>
      <c r="R7" s="81"/>
      <c r="S7" s="81"/>
      <c r="T7" s="81"/>
      <c r="U7" s="81"/>
      <c r="V7" s="81"/>
      <c r="W7" s="81"/>
      <c r="X7" s="81"/>
      <c r="Y7" s="98">
        <f>+IF(OR(G7='1.DATOS'!$H$14,G7='1.DATOS'!$H$15),K7,0)</f>
        <v>0</v>
      </c>
      <c r="Z7" s="98">
        <f>+IF(OR(G7='1.DATOS'!$H$14,G7='1.DATOS'!$H$15),0,K7)</f>
        <v>0</v>
      </c>
      <c r="AA7" s="98">
        <v>0</v>
      </c>
      <c r="AB7" s="98">
        <v>0</v>
      </c>
      <c r="AC7" s="98">
        <v>0</v>
      </c>
      <c r="AD7" s="98">
        <v>0</v>
      </c>
      <c r="AE7" s="87">
        <f>IF(Y7&gt;0,(('1.DATOS'!D10*$AE$2)*V7),0)</f>
        <v>0</v>
      </c>
      <c r="AF7" s="87" t="b">
        <f>+IF(Y7&gt;0,IF(OR(I7="TIEMPO COMPLETO",I7="Dedicación Exclusiva"),(('1.DATOS'!D10*$AF$2)),0))</f>
        <v>0</v>
      </c>
      <c r="AG7" s="87" t="b">
        <f>+IF(Y7&gt;0,IF(OR(I7='2.CARGOS-SALARIOS'!J13,I7='2.CARGOS-SALARIOS'!J14),'1.DATOS'!D10*$AG$2,"No Apĺica"))</f>
        <v>0</v>
      </c>
      <c r="AH7" s="87" t="b">
        <f>+IF(Y7&gt;0,IF(OR(G7='1.DATOS'!H15,G7='1.DATOS'!H16),Y7*VLOOKUP(X7,'1.DATOS'!C14:E22,3,0),"No Aplica"))</f>
        <v>0</v>
      </c>
      <c r="AI7" s="98" t="b">
        <f>+IF(Y7&gt;0,Y7*0.015*N7)</f>
        <v>0</v>
      </c>
      <c r="AJ7" s="98" t="str">
        <f>+IF(AND(Y7&gt;0,G7='1.DATOS'!$H$16,J7="SI"),'1.DATOS'!$D$10*$AJ$2,"No Aplica")</f>
        <v>No Aplica</v>
      </c>
      <c r="AK7" s="98" t="str">
        <f>+IF(AND(Y7&gt;0,G7='1.DATOS'!$H$14,X7='1.DATOS'!$C$19),Y7*'1.DATOS'!$E$19,"No Aplica")</f>
        <v>No Aplica</v>
      </c>
      <c r="AL7" s="98" t="str">
        <f>+IF(AND(Y7&gt;0,G7='1.DATOS'!$H$14,X7='1.DATOS'!$C$20),Y7*'1.DATOS'!$E$20,"No Aplica")</f>
        <v>No Aplica</v>
      </c>
      <c r="AM7" s="98" t="str">
        <f>+IF(AND(Y7&gt;0,G7='1.DATOS'!$H$14,X7='1.DATOS'!$C$21),Y7*'1.DATOS'!$E$21,"No Aplica")</f>
        <v>No Aplica</v>
      </c>
      <c r="AN7" s="98"/>
      <c r="AO7" s="98"/>
      <c r="AP7" s="98"/>
      <c r="AQ7" s="98"/>
      <c r="AR7" s="98">
        <f>SUM(Y7:AQ7)</f>
        <v>0</v>
      </c>
      <c r="AS7" s="100" t="b">
        <f>+IF(Y7&gt;0,('1.DATOS'!$D$10*'1.DATOS'!$F$10*'1.DATOS'!$G$10)*VLOOKUP(I7,'1.DATOS'!$H$47:$I$60,2,FALSE()))</f>
        <v>0</v>
      </c>
      <c r="AT7" s="100"/>
      <c r="AU7" s="100">
        <v>0</v>
      </c>
      <c r="AV7" s="100">
        <f>+((((AR7+BB7)+(AR7+BB7)/30*120/12))/30*105)*0</f>
        <v>0</v>
      </c>
      <c r="AW7" s="100">
        <f>+((((AR7+BB7)+(AR7+BB7)/30*105/12))/30*120)*0</f>
        <v>0</v>
      </c>
      <c r="AX7" s="100">
        <f>+((AR7*12)/52)*'1.DATOS'!$J$10</f>
        <v>0</v>
      </c>
      <c r="AY7" s="100">
        <f>+AR7*'1.DATOS'!$J$11</f>
        <v>0</v>
      </c>
      <c r="AZ7" s="100">
        <f>((AR7*12)/52)*'1.DATOS'!$J$13</f>
        <v>0</v>
      </c>
      <c r="BA7" s="100">
        <f>+AR7*'1.DATOS'!$J$12</f>
        <v>0</v>
      </c>
      <c r="BB7" s="100">
        <f>+AR7*'1.DATOS'!$J$14</f>
        <v>0</v>
      </c>
      <c r="BC7" s="100">
        <f>+IF(OR('1.DATOS'!$D$4='1.DATOS'!$C$28,'1.DATOS'!$D$4='1.DATOS'!$C$31,'1.DATOS'!$D$4='1.DATOS'!$C$34,'1.DATOS'!$D$4='1.DATOS'!$C$37),AR7/30*530/360,"Falso")</f>
        <v>0</v>
      </c>
      <c r="BD7" s="100">
        <v>0</v>
      </c>
      <c r="BE7" s="100" t="b">
        <f>+IF(AR7&gt;0,IF(OR(I7="TIEMPO COMPLETO",I7="Dedicación Exclusiva"),($BE$2*'1.DATOS'!$D$10*T7)))</f>
        <v>0</v>
      </c>
      <c r="BF7" s="100">
        <v>0</v>
      </c>
      <c r="BG7" s="100">
        <v>0</v>
      </c>
      <c r="BH7" s="100">
        <v>0</v>
      </c>
      <c r="BI7" s="100">
        <v>0</v>
      </c>
      <c r="BJ7" s="100"/>
      <c r="BK7" s="88" t="b">
        <f>+IF(Y7&gt;0,IF(OR(I7="TIEMPO COMPLETO",I7="Dedicación Exclusiva"),('1.DATOS'!$C$10*$BK$2)*U7))</f>
        <v>0</v>
      </c>
      <c r="BL7" s="100">
        <f>+AR7*0.01</f>
        <v>0</v>
      </c>
      <c r="BM7" s="100">
        <v>0</v>
      </c>
      <c r="BN7" s="100">
        <v>0</v>
      </c>
      <c r="BO7" s="100">
        <v>0</v>
      </c>
      <c r="BP7" s="100">
        <f>+(BN7+BO7)*0.12</f>
        <v>0</v>
      </c>
      <c r="BQ7" s="100">
        <v>0</v>
      </c>
      <c r="BR7" s="100">
        <v>0</v>
      </c>
      <c r="BS7" s="100">
        <v>0</v>
      </c>
      <c r="BT7" s="100">
        <v>0</v>
      </c>
      <c r="BU7" s="65">
        <f>+SUM(AR7:BT7)</f>
        <v>0</v>
      </c>
      <c r="BV7" s="101"/>
      <c r="ALO7" s="54"/>
      <c r="ALP7" s="54"/>
      <c r="ALQ7" s="54"/>
      <c r="ALR7" s="54"/>
      <c r="ALS7" s="54"/>
      <c r="ALT7" s="54"/>
      <c r="ALU7" s="54"/>
      <c r="ALV7" s="54"/>
      <c r="ALW7" s="54"/>
      <c r="ALX7" s="54"/>
    </row>
    <row r="8" spans="1:1024" ht="22.9" customHeight="1" x14ac:dyDescent="0.25">
      <c r="A8" s="93">
        <f>+A7+1</f>
        <v>2</v>
      </c>
      <c r="B8" s="94"/>
      <c r="C8" s="95"/>
      <c r="D8" s="95"/>
      <c r="E8" s="96"/>
      <c r="F8" s="95"/>
      <c r="G8" s="95"/>
      <c r="H8" s="95"/>
      <c r="I8" s="95"/>
      <c r="J8" s="95"/>
      <c r="K8" s="84">
        <f>+(IF(AND(B8&gt;0,E8&gt;0),SUMIFS('2.CARGOS-SALARIOS'!$F$13:$F$105,'2.CARGOS-SALARIOS'!$D$13:$D$105,H8,'2.CARGOS-SALARIOS'!$E$13:$E$105,I8,'2.CARGOS-SALARIOS'!$C$13:$C$105,G8),0))</f>
        <v>0</v>
      </c>
      <c r="L8" s="84">
        <f>IF(K8&gt;0,((YEARFRAC(E8,$H$1,3))),0)</f>
        <v>0</v>
      </c>
      <c r="M8" s="81"/>
      <c r="N8" s="84">
        <f>+L8+M8</f>
        <v>0</v>
      </c>
      <c r="O8" s="81"/>
      <c r="P8" s="85">
        <f>+IF(AND(E8&gt;0,OR(MONTH($H$2)=3,MONTH($H$2)=6,MONTH($H$2)=9,MONTH($H$2)=12),MONTH(E8)&lt;=MONTH($H$2),MONTH(E8)&gt;=MONTH($H$2)-2),VLOOKUP(DAYS360(E8,$H$2),'1.DATOS'!$G$27:$I$42,2),0)</f>
        <v>0</v>
      </c>
      <c r="Q8" s="81"/>
      <c r="R8" s="81"/>
      <c r="S8" s="81"/>
      <c r="T8" s="81"/>
      <c r="U8" s="81"/>
      <c r="V8" s="81"/>
      <c r="W8" s="81"/>
      <c r="X8" s="81"/>
      <c r="Y8" s="98">
        <f>+IF(OR(G8='1.DATOS'!$H$14,G8='1.DATOS'!$H$15),K8,0)</f>
        <v>0</v>
      </c>
      <c r="Z8" s="98">
        <f>+IF(OR(G8='1.DATOS'!$H$14,G8='1.DATOS'!$H$15),0,K8)</f>
        <v>0</v>
      </c>
      <c r="AA8" s="98">
        <v>0</v>
      </c>
      <c r="AB8" s="98">
        <v>0</v>
      </c>
      <c r="AC8" s="98">
        <v>0</v>
      </c>
      <c r="AD8" s="98">
        <v>0</v>
      </c>
      <c r="AE8" s="87">
        <f>IF(Y8&gt;0,(('1.DATOS'!D11*$AE$2)*V8),0)</f>
        <v>0</v>
      </c>
      <c r="AF8" s="87" t="b">
        <f>+IF(Y8&gt;0,IF(OR(I8="TIEMPO COMPLETO",I8="Dedicación Exclusiva"),(('1.DATOS'!D11*$AF$2)),0))</f>
        <v>0</v>
      </c>
      <c r="AG8" s="87" t="b">
        <f>+IF(Y8&gt;0,IF(OR(I8='2.CARGOS-SALARIOS'!J14,I8='2.CARGOS-SALARIOS'!J15),'1.DATOS'!D11*$AG$2,"No Apĺica"))</f>
        <v>0</v>
      </c>
      <c r="AH8" s="87" t="b">
        <f>+IF(Y8&gt;0,IF(OR(G8='1.DATOS'!H16,G8='1.DATOS'!H17),Y8*VLOOKUP(X8,'1.DATOS'!C15:E23,3,0),"No Aplica"))</f>
        <v>0</v>
      </c>
      <c r="AI8" s="98" t="b">
        <f>+IF(Y8&gt;0,Y8*0.015*N8)</f>
        <v>0</v>
      </c>
      <c r="AJ8" s="98" t="str">
        <f>+IF(AND(Y8&gt;0,G8='1.DATOS'!$H$16,J8="SI"),'1.DATOS'!$D$10*$AJ$2,"No Aplica")</f>
        <v>No Aplica</v>
      </c>
      <c r="AK8" s="98" t="str">
        <f>+IF(AND(Y8&gt;0,G8='1.DATOS'!$H$14,X8='1.DATOS'!$C$19),Y8*'1.DATOS'!$E$19,"No Aplica")</f>
        <v>No Aplica</v>
      </c>
      <c r="AL8" s="98" t="str">
        <f>+IF(AND(Y8&gt;0,G8='1.DATOS'!$H$14,X8='1.DATOS'!$C$20),Y8*'1.DATOS'!$E$20,"No Aplica")</f>
        <v>No Aplica</v>
      </c>
      <c r="AM8" s="98" t="str">
        <f>+IF(AND(Y8&gt;0,G8='1.DATOS'!$H$14,X8='1.DATOS'!$C$21),Y8*'1.DATOS'!$E$21,"No Aplica")</f>
        <v>No Aplica</v>
      </c>
      <c r="AN8" s="98"/>
      <c r="AO8" s="98"/>
      <c r="AP8" s="98"/>
      <c r="AQ8" s="98"/>
      <c r="AR8" s="98">
        <f>SUM(Y8:AQ8)</f>
        <v>0</v>
      </c>
      <c r="AS8" s="100" t="b">
        <f>+IF(Y8&gt;0,('1.DATOS'!$D$10*'1.DATOS'!$F$10*'1.DATOS'!$G$10)*VLOOKUP(I8,'1.DATOS'!$H$47:$I$60,2,FALSE()))</f>
        <v>0</v>
      </c>
      <c r="AT8" s="100"/>
      <c r="AU8" s="100">
        <v>0</v>
      </c>
      <c r="AV8" s="100">
        <f>+((((AR8+BB8)+(AR8+BB8)/30*120/12))/30*105)*0</f>
        <v>0</v>
      </c>
      <c r="AW8" s="100">
        <f>+((((AR8+BB8)+(AR8+BB8)/30*105/12))/30*120)*0</f>
        <v>0</v>
      </c>
      <c r="AX8" s="100">
        <f>+((AR8*12)/52)*'1.DATOS'!$J$10</f>
        <v>0</v>
      </c>
      <c r="AY8" s="100">
        <f>+AR8*'1.DATOS'!$J$11</f>
        <v>0</v>
      </c>
      <c r="AZ8" s="100">
        <f>((AR8*12)/52)*'1.DATOS'!$J$13</f>
        <v>0</v>
      </c>
      <c r="BA8" s="100">
        <f>+AR8*'1.DATOS'!$J$12</f>
        <v>0</v>
      </c>
      <c r="BB8" s="100">
        <f>+AR8*'1.DATOS'!$J$14</f>
        <v>0</v>
      </c>
      <c r="BC8" s="100">
        <f>+IF(OR('1.DATOS'!$D$4='1.DATOS'!$C$28,'1.DATOS'!$D$4='1.DATOS'!$C$31,'1.DATOS'!$D$4='1.DATOS'!$C$34,'1.DATOS'!$D$4='1.DATOS'!$C$37),AR8/30*530/360,"Falso")</f>
        <v>0</v>
      </c>
      <c r="BD8" s="100">
        <v>0</v>
      </c>
      <c r="BE8" s="100" t="b">
        <f>+IF(AR8&gt;0,IF(OR(I8="TIEMPO COMPLETO",I8="Dedicación Exclusiva"),($BE$2*'1.DATOS'!$D$10*T8)))</f>
        <v>0</v>
      </c>
      <c r="BF8" s="100">
        <v>0</v>
      </c>
      <c r="BG8" s="100">
        <v>0</v>
      </c>
      <c r="BH8" s="100">
        <v>0</v>
      </c>
      <c r="BI8" s="100">
        <v>0</v>
      </c>
      <c r="BJ8" s="100"/>
      <c r="BK8" s="88" t="b">
        <f>+IF(Y8&gt;0,IF(OR(I8="TIEMPO COMPLETO",I8="Dedicación Exclusiva"),('1.DATOS'!$C$10*$BK$2)*U8))</f>
        <v>0</v>
      </c>
      <c r="BL8" s="100">
        <f>+AR8*0.01</f>
        <v>0</v>
      </c>
      <c r="BM8" s="100">
        <v>0</v>
      </c>
      <c r="BN8" s="100">
        <v>0</v>
      </c>
      <c r="BO8" s="100">
        <v>0</v>
      </c>
      <c r="BP8" s="100">
        <f>+(BN8+BO8)*0.12</f>
        <v>0</v>
      </c>
      <c r="BQ8" s="100">
        <v>0</v>
      </c>
      <c r="BR8" s="100">
        <v>0</v>
      </c>
      <c r="BS8" s="100">
        <v>0</v>
      </c>
      <c r="BT8" s="100">
        <v>0</v>
      </c>
      <c r="BU8" s="65">
        <f>+SUM(AR8:BT8)</f>
        <v>0</v>
      </c>
      <c r="BV8" s="101"/>
      <c r="ALO8" s="54"/>
      <c r="ALP8" s="54"/>
      <c r="ALQ8" s="54"/>
      <c r="ALR8" s="54"/>
      <c r="ALS8" s="54"/>
      <c r="ALT8" s="54"/>
      <c r="ALU8" s="54"/>
      <c r="ALV8" s="54"/>
      <c r="ALW8" s="54"/>
      <c r="ALX8" s="54"/>
    </row>
    <row r="9" spans="1:1024" ht="22.9" customHeight="1" x14ac:dyDescent="0.25">
      <c r="A9" s="93">
        <f>+A8+1</f>
        <v>3</v>
      </c>
      <c r="B9" s="94"/>
      <c r="C9" s="95"/>
      <c r="D9" s="95"/>
      <c r="E9" s="96"/>
      <c r="F9" s="95"/>
      <c r="G9" s="95"/>
      <c r="H9" s="95"/>
      <c r="I9" s="95"/>
      <c r="J9" s="95"/>
      <c r="K9" s="84">
        <f>+(IF(AND(B9&gt;0,E9&gt;0),SUMIFS('2.CARGOS-SALARIOS'!$F$13:$F$105,'2.CARGOS-SALARIOS'!$D$13:$D$105,H9,'2.CARGOS-SALARIOS'!$E$13:$E$105,I9,'2.CARGOS-SALARIOS'!$C$13:$C$105,G9),0))</f>
        <v>0</v>
      </c>
      <c r="L9" s="84">
        <f>IF(K9&gt;0,((YEARFRAC(E9,$H$1,3))),0)</f>
        <v>0</v>
      </c>
      <c r="M9" s="81"/>
      <c r="N9" s="84">
        <f>+L9+M9</f>
        <v>0</v>
      </c>
      <c r="O9" s="81"/>
      <c r="P9" s="85">
        <f>+IF(AND(E9&gt;0,OR(MONTH($H$2)=3,MONTH($H$2)=6,MONTH($H$2)=9,MONTH($H$2)=12),MONTH(E9)&lt;=MONTH($H$2),MONTH(E9)&gt;=MONTH($H$2)-2),VLOOKUP(DAYS360(E9,$H$2),'1.DATOS'!$G$27:$I$42,2),0)</f>
        <v>0</v>
      </c>
      <c r="Q9" s="81"/>
      <c r="R9" s="81"/>
      <c r="S9" s="81"/>
      <c r="T9" s="81"/>
      <c r="U9" s="81"/>
      <c r="V9" s="81"/>
      <c r="W9" s="81"/>
      <c r="X9" s="81"/>
      <c r="Y9" s="98">
        <f>+IF(OR(G9='1.DATOS'!$H$14,G9='1.DATOS'!$H$15),K9,0)</f>
        <v>0</v>
      </c>
      <c r="Z9" s="98">
        <f>+IF(OR(G9='1.DATOS'!$H$14,G9='1.DATOS'!$H$15),0,K9)</f>
        <v>0</v>
      </c>
      <c r="AA9" s="98">
        <v>0</v>
      </c>
      <c r="AB9" s="98">
        <v>0</v>
      </c>
      <c r="AC9" s="98">
        <v>0</v>
      </c>
      <c r="AD9" s="98">
        <v>0</v>
      </c>
      <c r="AE9" s="87">
        <f>IF(Y9&gt;0,(('1.DATOS'!D12*$AE$2)*V9),0)</f>
        <v>0</v>
      </c>
      <c r="AF9" s="87" t="b">
        <f>+IF(Y9&gt;0,IF(OR(I9="TIEMPO COMPLETO",I9="Dedicación Exclusiva"),(('1.DATOS'!D12*$AF$2)),0))</f>
        <v>0</v>
      </c>
      <c r="AG9" s="87" t="b">
        <f>+IF(Y9&gt;0,IF(OR(I9='2.CARGOS-SALARIOS'!J15,I9='2.CARGOS-SALARIOS'!J16),'1.DATOS'!D12*$AG$2,"No Apĺica"))</f>
        <v>0</v>
      </c>
      <c r="AH9" s="87" t="b">
        <f>+IF(Y9&gt;0,IF(OR(G9='1.DATOS'!H17,G9='1.DATOS'!H18),Y9*VLOOKUP(X9,'1.DATOS'!C16:E24,3,0),"No Aplica"))</f>
        <v>0</v>
      </c>
      <c r="AI9" s="98" t="b">
        <f>+IF(Y9&gt;0,Y9*0.015*N9)</f>
        <v>0</v>
      </c>
      <c r="AJ9" s="98" t="str">
        <f>+IF(AND(Y9&gt;0,G9='1.DATOS'!$H$16,J9="SI"),'1.DATOS'!$D$10*$AJ$2,"No Aplica")</f>
        <v>No Aplica</v>
      </c>
      <c r="AK9" s="98" t="str">
        <f>+IF(AND(Y9&gt;0,G9='1.DATOS'!$H$14,X9='1.DATOS'!$C$19),Y9*'1.DATOS'!$E$19,"No Aplica")</f>
        <v>No Aplica</v>
      </c>
      <c r="AL9" s="98" t="str">
        <f>+IF(AND(Y9&gt;0,G9='1.DATOS'!$H$14,X9='1.DATOS'!$C$20),Y9*'1.DATOS'!$E$20,"No Aplica")</f>
        <v>No Aplica</v>
      </c>
      <c r="AM9" s="98" t="str">
        <f>+IF(AND(Y9&gt;0,G9='1.DATOS'!$H$14,X9='1.DATOS'!$C$21),Y9*'1.DATOS'!$E$21,"No Aplica")</f>
        <v>No Aplica</v>
      </c>
      <c r="AN9" s="98"/>
      <c r="AO9" s="98"/>
      <c r="AP9" s="98"/>
      <c r="AQ9" s="98"/>
      <c r="AR9" s="98">
        <f>SUM(Y9:AQ9)</f>
        <v>0</v>
      </c>
      <c r="AS9" s="100" t="b">
        <f>+IF(Y9&gt;0,('1.DATOS'!$D$10*'1.DATOS'!$F$10*'1.DATOS'!$G$10)*VLOOKUP(I9,'1.DATOS'!$H$47:$I$60,2,FALSE()))</f>
        <v>0</v>
      </c>
      <c r="AT9" s="100"/>
      <c r="AU9" s="100">
        <v>0</v>
      </c>
      <c r="AV9" s="100">
        <f>+((((AR9+BB9)+(AR9+BB9)/30*120/12))/30*105)*0</f>
        <v>0</v>
      </c>
      <c r="AW9" s="100">
        <f>+((((AR9+BB9)+(AR9+BB9)/30*105/12))/30*120)*0</f>
        <v>0</v>
      </c>
      <c r="AX9" s="100">
        <f>+((AR9*12)/52)*'1.DATOS'!$J$10</f>
        <v>0</v>
      </c>
      <c r="AY9" s="100">
        <f>+AR9*'1.DATOS'!$J$11</f>
        <v>0</v>
      </c>
      <c r="AZ9" s="100">
        <f>((AR9*12)/52)*'1.DATOS'!$J$13</f>
        <v>0</v>
      </c>
      <c r="BA9" s="100">
        <f>+AR9*'1.DATOS'!$J$12</f>
        <v>0</v>
      </c>
      <c r="BB9" s="100">
        <f>+AR9*'1.DATOS'!$J$14</f>
        <v>0</v>
      </c>
      <c r="BC9" s="100">
        <f>+IF(OR('1.DATOS'!$D$4='1.DATOS'!$C$28,'1.DATOS'!$D$4='1.DATOS'!$C$31,'1.DATOS'!$D$4='1.DATOS'!$C$34,'1.DATOS'!$D$4='1.DATOS'!$C$37),AR9/30*530/360,"Falso")</f>
        <v>0</v>
      </c>
      <c r="BD9" s="100">
        <v>0</v>
      </c>
      <c r="BE9" s="100" t="b">
        <f>+IF(AR9&gt;0,IF(OR(I9="TIEMPO COMPLETO",I9="Dedicación Exclusiva"),($BE$2*'1.DATOS'!$D$10*T9)))</f>
        <v>0</v>
      </c>
      <c r="BF9" s="100">
        <v>0</v>
      </c>
      <c r="BG9" s="100">
        <v>0</v>
      </c>
      <c r="BH9" s="100">
        <v>0</v>
      </c>
      <c r="BI9" s="100">
        <v>0</v>
      </c>
      <c r="BJ9" s="100"/>
      <c r="BK9" s="88" t="b">
        <f>+IF(Y9&gt;0,IF(OR(I9="TIEMPO COMPLETO",I9="Dedicación Exclusiva"),('1.DATOS'!$C$10*$BK$2)*U9))</f>
        <v>0</v>
      </c>
      <c r="BL9" s="100">
        <f>+AR9*0.01</f>
        <v>0</v>
      </c>
      <c r="BM9" s="100">
        <v>0</v>
      </c>
      <c r="BN9" s="100">
        <v>0</v>
      </c>
      <c r="BO9" s="100">
        <v>0</v>
      </c>
      <c r="BP9" s="100">
        <f>+(BN9+BO9)*0.12</f>
        <v>0</v>
      </c>
      <c r="BQ9" s="100">
        <v>0</v>
      </c>
      <c r="BR9" s="100">
        <v>0</v>
      </c>
      <c r="BS9" s="100">
        <v>0</v>
      </c>
      <c r="BT9" s="100">
        <v>0</v>
      </c>
      <c r="BU9" s="65">
        <f>+SUM(AR9:BT9)</f>
        <v>0</v>
      </c>
      <c r="BV9" s="101"/>
      <c r="ALO9" s="54"/>
      <c r="ALP9" s="54"/>
      <c r="ALQ9" s="54"/>
      <c r="ALR9" s="54"/>
      <c r="ALS9" s="54"/>
      <c r="ALT9" s="54"/>
      <c r="ALU9" s="54"/>
      <c r="ALV9" s="54"/>
      <c r="ALW9" s="54"/>
      <c r="ALX9" s="54"/>
    </row>
    <row r="10" spans="1:1024" ht="15.75" x14ac:dyDescent="0.25">
      <c r="A10" s="93"/>
      <c r="B10" s="94"/>
      <c r="C10" s="95"/>
      <c r="D10" s="95"/>
      <c r="E10" s="96"/>
      <c r="F10" s="95"/>
      <c r="G10" s="95"/>
      <c r="H10" s="95"/>
      <c r="I10" s="95"/>
      <c r="J10" s="95"/>
      <c r="K10" s="84"/>
      <c r="L10" s="84"/>
      <c r="M10" s="81"/>
      <c r="N10" s="84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98"/>
      <c r="Z10" s="98"/>
      <c r="AA10" s="98"/>
      <c r="AB10" s="98"/>
      <c r="AC10" s="98"/>
      <c r="AD10" s="98"/>
      <c r="AE10" s="98"/>
      <c r="AF10" s="98"/>
      <c r="AG10" s="99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65"/>
      <c r="BV10" s="101"/>
      <c r="ALO10" s="54"/>
      <c r="ALP10" s="54"/>
      <c r="ALQ10" s="54"/>
      <c r="ALR10" s="54"/>
      <c r="ALS10" s="54"/>
      <c r="ALT10" s="54"/>
      <c r="ALU10" s="54"/>
      <c r="ALV10" s="54"/>
      <c r="ALW10" s="54"/>
      <c r="ALX10" s="54"/>
    </row>
    <row r="11" spans="1:1024" ht="21.95" customHeight="1" x14ac:dyDescent="0.25">
      <c r="A11" s="241" t="s">
        <v>130</v>
      </c>
      <c r="B11" s="241"/>
      <c r="C11" s="241"/>
      <c r="D11" s="241"/>
      <c r="E11" s="241"/>
      <c r="F11" s="241"/>
      <c r="G11" s="241"/>
      <c r="H11" s="241"/>
      <c r="I11" s="241"/>
      <c r="J11" s="241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W11"/>
    </row>
    <row r="12" spans="1:1024" ht="15.75" x14ac:dyDescent="0.2">
      <c r="A12" s="104"/>
      <c r="B12" s="104"/>
      <c r="C12" s="104"/>
      <c r="D12" s="104"/>
      <c r="E12" s="104"/>
      <c r="F12" s="105"/>
      <c r="G12" s="105"/>
      <c r="H12" s="105"/>
      <c r="I12" s="105"/>
      <c r="J12" s="10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W12"/>
    </row>
    <row r="13" spans="1:1024" x14ac:dyDescent="0.2">
      <c r="H13"/>
      <c r="I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W13"/>
    </row>
    <row r="14" spans="1:1024" x14ac:dyDescent="0.2">
      <c r="H14"/>
      <c r="I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W14"/>
    </row>
    <row r="15" spans="1:1024" ht="18" x14ac:dyDescent="0.25">
      <c r="H15" s="110" t="s">
        <v>249</v>
      </c>
      <c r="I15" s="111">
        <f>+COUNTA(B7:B10)</f>
        <v>0</v>
      </c>
      <c r="K15" s="112">
        <f t="shared" ref="K15:AM15" si="0">SUM(K7:K10)</f>
        <v>0</v>
      </c>
      <c r="L15" s="112">
        <f t="shared" si="0"/>
        <v>0</v>
      </c>
      <c r="M15" s="112">
        <f t="shared" si="0"/>
        <v>0</v>
      </c>
      <c r="N15" s="112">
        <f t="shared" si="0"/>
        <v>0</v>
      </c>
      <c r="O15" s="112">
        <f t="shared" si="0"/>
        <v>0</v>
      </c>
      <c r="P15" s="112">
        <f t="shared" si="0"/>
        <v>0</v>
      </c>
      <c r="Q15" s="112">
        <f t="shared" si="0"/>
        <v>0</v>
      </c>
      <c r="R15" s="112">
        <f t="shared" si="0"/>
        <v>0</v>
      </c>
      <c r="S15" s="112">
        <f t="shared" si="0"/>
        <v>0</v>
      </c>
      <c r="T15" s="112">
        <f t="shared" si="0"/>
        <v>0</v>
      </c>
      <c r="U15" s="112">
        <f t="shared" si="0"/>
        <v>0</v>
      </c>
      <c r="V15" s="112">
        <f t="shared" si="0"/>
        <v>0</v>
      </c>
      <c r="W15" s="112">
        <f t="shared" si="0"/>
        <v>0</v>
      </c>
      <c r="X15" s="112">
        <f t="shared" si="0"/>
        <v>0</v>
      </c>
      <c r="Y15" s="112">
        <f t="shared" si="0"/>
        <v>0</v>
      </c>
      <c r="Z15" s="112">
        <f t="shared" si="0"/>
        <v>0</v>
      </c>
      <c r="AA15" s="112">
        <f t="shared" si="0"/>
        <v>0</v>
      </c>
      <c r="AB15" s="112">
        <f t="shared" si="0"/>
        <v>0</v>
      </c>
      <c r="AC15" s="112">
        <f t="shared" si="0"/>
        <v>0</v>
      </c>
      <c r="AD15" s="112">
        <f t="shared" si="0"/>
        <v>0</v>
      </c>
      <c r="AE15" s="112">
        <f t="shared" si="0"/>
        <v>0</v>
      </c>
      <c r="AF15" s="112">
        <f t="shared" si="0"/>
        <v>0</v>
      </c>
      <c r="AG15" s="112">
        <f t="shared" si="0"/>
        <v>0</v>
      </c>
      <c r="AH15" s="112">
        <f t="shared" si="0"/>
        <v>0</v>
      </c>
      <c r="AI15" s="112">
        <f t="shared" si="0"/>
        <v>0</v>
      </c>
      <c r="AJ15" s="112">
        <f t="shared" si="0"/>
        <v>0</v>
      </c>
      <c r="AK15" s="112">
        <f t="shared" si="0"/>
        <v>0</v>
      </c>
      <c r="AL15" s="112">
        <f t="shared" si="0"/>
        <v>0</v>
      </c>
      <c r="AM15" s="112">
        <f t="shared" si="0"/>
        <v>0</v>
      </c>
      <c r="AN15" s="112"/>
      <c r="AO15" s="112"/>
      <c r="AP15" s="112"/>
      <c r="AQ15" s="112">
        <f>SUM(AQ7:AQ10)</f>
        <v>0</v>
      </c>
      <c r="AR15" s="112">
        <f>SUM(AR7:AR10)</f>
        <v>0</v>
      </c>
      <c r="AS15" s="112">
        <f>SUM(AS7:AS10)</f>
        <v>0</v>
      </c>
      <c r="AT15" s="112"/>
      <c r="AU15" s="112">
        <f t="shared" ref="AU15:BI15" si="1">SUM(AU7:AU10)</f>
        <v>0</v>
      </c>
      <c r="AV15" s="112">
        <f t="shared" si="1"/>
        <v>0</v>
      </c>
      <c r="AW15" s="112">
        <f t="shared" si="1"/>
        <v>0</v>
      </c>
      <c r="AX15" s="112">
        <f t="shared" si="1"/>
        <v>0</v>
      </c>
      <c r="AY15" s="112">
        <f t="shared" si="1"/>
        <v>0</v>
      </c>
      <c r="AZ15" s="112">
        <f t="shared" si="1"/>
        <v>0</v>
      </c>
      <c r="BA15" s="112">
        <f t="shared" si="1"/>
        <v>0</v>
      </c>
      <c r="BB15" s="112">
        <f t="shared" si="1"/>
        <v>0</v>
      </c>
      <c r="BC15" s="112">
        <f t="shared" si="1"/>
        <v>0</v>
      </c>
      <c r="BD15" s="112">
        <f t="shared" si="1"/>
        <v>0</v>
      </c>
      <c r="BE15" s="112">
        <f t="shared" si="1"/>
        <v>0</v>
      </c>
      <c r="BF15" s="112">
        <f t="shared" si="1"/>
        <v>0</v>
      </c>
      <c r="BG15" s="112">
        <f t="shared" si="1"/>
        <v>0</v>
      </c>
      <c r="BH15" s="112">
        <f t="shared" si="1"/>
        <v>0</v>
      </c>
      <c r="BI15" s="112">
        <f t="shared" si="1"/>
        <v>0</v>
      </c>
      <c r="BJ15" s="112"/>
      <c r="BK15" s="112">
        <f t="shared" ref="BK15:BU15" si="2">SUM(BK7:BK10)</f>
        <v>0</v>
      </c>
      <c r="BL15" s="112">
        <f t="shared" si="2"/>
        <v>0</v>
      </c>
      <c r="BM15" s="112">
        <f t="shared" si="2"/>
        <v>0</v>
      </c>
      <c r="BN15" s="112">
        <f t="shared" si="2"/>
        <v>0</v>
      </c>
      <c r="BO15" s="112">
        <f t="shared" si="2"/>
        <v>0</v>
      </c>
      <c r="BP15" s="112">
        <f t="shared" si="2"/>
        <v>0</v>
      </c>
      <c r="BQ15" s="112">
        <f t="shared" si="2"/>
        <v>0</v>
      </c>
      <c r="BR15" s="112">
        <f t="shared" si="2"/>
        <v>0</v>
      </c>
      <c r="BS15" s="112">
        <f t="shared" si="2"/>
        <v>0</v>
      </c>
      <c r="BT15" s="112">
        <f t="shared" si="2"/>
        <v>0</v>
      </c>
      <c r="BU15" s="169">
        <f t="shared" si="2"/>
        <v>0</v>
      </c>
      <c r="BW15" s="101"/>
    </row>
  </sheetData>
  <mergeCells count="27">
    <mergeCell ref="A6:P6"/>
    <mergeCell ref="A11:J11"/>
    <mergeCell ref="BL3:BR3"/>
    <mergeCell ref="BS3:BT3"/>
    <mergeCell ref="A4:K4"/>
    <mergeCell ref="L4:P4"/>
    <mergeCell ref="Q4:X4"/>
    <mergeCell ref="Y4:AD4"/>
    <mergeCell ref="AE4:AM4"/>
    <mergeCell ref="AR4:AR5"/>
    <mergeCell ref="AS4:AU4"/>
    <mergeCell ref="AV4:AW4"/>
    <mergeCell ref="AX4:BD4"/>
    <mergeCell ref="BE4:BK4"/>
    <mergeCell ref="BL4:BR4"/>
    <mergeCell ref="BS4:BT4"/>
    <mergeCell ref="AK1:AM2"/>
    <mergeCell ref="AR1:AR3"/>
    <mergeCell ref="AS1:AU2"/>
    <mergeCell ref="AX1:BC2"/>
    <mergeCell ref="AC2:AD2"/>
    <mergeCell ref="AC3:AD3"/>
    <mergeCell ref="A1:F3"/>
    <mergeCell ref="G1:G3"/>
    <mergeCell ref="H1:H3"/>
    <mergeCell ref="AC1:AD1"/>
    <mergeCell ref="AH1:AI2"/>
  </mergeCells>
  <dataValidations count="1">
    <dataValidation type="list" operator="equal" allowBlank="1" showErrorMessage="1" sqref="J7:J10">
      <formula1>"SI,NO"</formula1>
      <formula2>0</formula2>
    </dataValidation>
  </dataValidations>
  <pageMargins left="0.31527777777777799" right="0.39374999999999999" top="0.74791666666666701" bottom="0.47222222222222199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equal" allowBlank="1" showErrorMessage="1">
          <x14:formula1>
            <xm:f>'1.DATOS'!$H$10:$H$11</xm:f>
          </x14:formula1>
          <x14:formula2>
            <xm:f>0</xm:f>
          </x14:formula2>
          <xm:sqref>D7:D9</xm:sqref>
        </x14:dataValidation>
        <x14:dataValidation type="list" operator="equal" allowBlank="1" showErrorMessage="1">
          <x14:formula1>
            <xm:f>'1.DATOS'!$G$15</xm:f>
          </x14:formula1>
          <x14:formula2>
            <xm:f>0</xm:f>
          </x14:formula2>
          <xm:sqref>F7:F9</xm:sqref>
        </x14:dataValidation>
        <x14:dataValidation type="list" operator="equal" allowBlank="1" showErrorMessage="1">
          <x14:formula1>
            <xm:f>'1.DATOS'!$H$14:$H$16</xm:f>
          </x14:formula1>
          <x14:formula2>
            <xm:f>0</xm:f>
          </x14:formula2>
          <xm:sqref>G7:G9</xm:sqref>
        </x14:dataValidation>
        <x14:dataValidation type="list" operator="equal" allowBlank="1" showErrorMessage="1">
          <x14:formula1>
            <xm:f>'2.CARGOS-SALARIOS'!$I$14:$I$41</xm:f>
          </x14:formula1>
          <x14:formula2>
            <xm:f>0</xm:f>
          </x14:formula2>
          <xm:sqref>H7:H9</xm:sqref>
        </x14:dataValidation>
        <x14:dataValidation type="list" operator="equal" allowBlank="1" showErrorMessage="1">
          <x14:formula1>
            <xm:f>'2.CARGOS-SALARIOS'!$J$13:$J$21</xm:f>
          </x14:formula1>
          <x14:formula2>
            <xm:f>0</xm:f>
          </x14:formula2>
          <xm:sqref>I7:I9</xm:sqref>
        </x14:dataValidation>
        <x14:dataValidation type="list" operator="equal" allowBlank="1" showErrorMessage="1">
          <x14:formula1>
            <xm:f>'1.DATOS'!$C$15:$C$22</xm:f>
          </x14:formula1>
          <x14:formula2>
            <xm:f>0</xm:f>
          </x14:formula2>
          <xm:sqref>X7:X9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AMJ17"/>
  <sheetViews>
    <sheetView showGridLines="0" zoomScale="60" zoomScaleNormal="60" workbookViewId="0"/>
  </sheetViews>
  <sheetFormatPr baseColWidth="10" defaultColWidth="9.140625" defaultRowHeight="12.75" x14ac:dyDescent="0.2"/>
  <cols>
    <col min="1" max="1" width="7.85546875" style="53" customWidth="1"/>
    <col min="2" max="2" width="19.5703125" style="53" customWidth="1"/>
    <col min="3" max="3" width="20.5703125" style="53" customWidth="1"/>
    <col min="4" max="4" width="22.42578125" style="53" customWidth="1"/>
    <col min="5" max="5" width="13" style="53" customWidth="1"/>
    <col min="6" max="6" width="21.42578125" style="54" customWidth="1"/>
    <col min="7" max="7" width="18.140625" style="54" customWidth="1"/>
    <col min="8" max="8" width="17.7109375" style="54" customWidth="1"/>
    <col min="9" max="9" width="22.42578125" style="54" customWidth="1"/>
    <col min="10" max="10" width="13.42578125" style="54" customWidth="1"/>
    <col min="11" max="11" width="10.5703125" style="54" customWidth="1"/>
    <col min="12" max="938" width="9.5703125" style="54" customWidth="1"/>
    <col min="939" max="970" width="8.5703125" customWidth="1"/>
    <col min="971" max="991" width="9.5703125" customWidth="1"/>
    <col min="992" max="1025" width="8.5703125" customWidth="1"/>
  </cols>
  <sheetData>
    <row r="1" spans="1:1024" ht="33" customHeight="1" x14ac:dyDescent="0.2">
      <c r="A1" s="5" t="s">
        <v>365</v>
      </c>
      <c r="B1" s="5"/>
      <c r="C1" s="5"/>
      <c r="D1" s="5"/>
      <c r="E1" s="5"/>
      <c r="F1" s="4" t="s">
        <v>51</v>
      </c>
      <c r="G1" s="3">
        <f>+'1.DATOS'!F4</f>
        <v>43373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</row>
    <row r="2" spans="1:1024" ht="27.95" customHeight="1" x14ac:dyDescent="0.2">
      <c r="A2" s="5"/>
      <c r="B2" s="5"/>
      <c r="C2" s="5"/>
      <c r="D2" s="5"/>
      <c r="E2" s="5"/>
      <c r="F2" s="4"/>
      <c r="G2" s="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</row>
    <row r="3" spans="1:1024" ht="30.75" customHeight="1" x14ac:dyDescent="0.25">
      <c r="A3" s="5"/>
      <c r="B3" s="5"/>
      <c r="C3" s="5"/>
      <c r="D3" s="5"/>
      <c r="E3" s="5"/>
      <c r="F3" s="4"/>
      <c r="G3" s="3"/>
      <c r="H3" s="106"/>
      <c r="I3" s="168"/>
      <c r="AJC3" s="54"/>
      <c r="AJD3" s="54"/>
      <c r="AJE3" s="54"/>
      <c r="AJF3" s="54"/>
      <c r="AJG3" s="54"/>
      <c r="AJH3" s="54"/>
      <c r="AJI3" s="54"/>
      <c r="AJJ3" s="54"/>
      <c r="AJK3" s="54"/>
      <c r="AJL3" s="54"/>
    </row>
    <row r="4" spans="1:1024" ht="49.5" customHeight="1" x14ac:dyDescent="0.2">
      <c r="A4" s="212" t="s">
        <v>156</v>
      </c>
      <c r="B4" s="212"/>
      <c r="C4" s="212"/>
      <c r="D4" s="212"/>
      <c r="E4" s="212"/>
      <c r="F4" s="212"/>
      <c r="G4" s="212"/>
      <c r="H4" s="212"/>
      <c r="I4" s="21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</row>
    <row r="5" spans="1:1024" s="75" customFormat="1" ht="128.25" customHeight="1" x14ac:dyDescent="0.2">
      <c r="A5" s="66" t="s">
        <v>98</v>
      </c>
      <c r="B5" s="67" t="s">
        <v>166</v>
      </c>
      <c r="C5" s="67" t="s">
        <v>167</v>
      </c>
      <c r="D5" s="67" t="s">
        <v>168</v>
      </c>
      <c r="E5" s="66" t="s">
        <v>366</v>
      </c>
      <c r="F5" s="66" t="s">
        <v>367</v>
      </c>
      <c r="G5" s="66" t="s">
        <v>368</v>
      </c>
      <c r="H5" s="72" t="s">
        <v>369</v>
      </c>
      <c r="I5" s="73" t="s">
        <v>370</v>
      </c>
      <c r="J5" s="74"/>
      <c r="K5" s="74"/>
      <c r="AJC5" s="74"/>
      <c r="AJD5" s="74"/>
      <c r="AJE5" s="74"/>
      <c r="AJF5" s="74"/>
      <c r="AJG5" s="74"/>
      <c r="AJH5" s="74"/>
      <c r="AJI5" s="74"/>
      <c r="AJJ5" s="74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2.7" customHeight="1" x14ac:dyDescent="0.2">
      <c r="A6" s="221" t="s">
        <v>229</v>
      </c>
      <c r="B6" s="221"/>
      <c r="C6" s="221"/>
      <c r="D6" s="221"/>
      <c r="E6" s="221"/>
      <c r="F6" s="221"/>
      <c r="G6" s="78" t="s">
        <v>371</v>
      </c>
      <c r="H6" s="78" t="s">
        <v>245</v>
      </c>
      <c r="I6" s="7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</row>
    <row r="7" spans="1:1024" ht="22.9" customHeight="1" x14ac:dyDescent="0.25">
      <c r="A7" s="93">
        <v>1</v>
      </c>
      <c r="B7" s="94"/>
      <c r="C7" s="95"/>
      <c r="D7" s="95"/>
      <c r="E7" s="96"/>
      <c r="F7" s="95"/>
      <c r="G7" s="84"/>
      <c r="H7" s="100">
        <f>+G7*0.08</f>
        <v>0</v>
      </c>
      <c r="I7" s="65">
        <f>+G7+H7</f>
        <v>0</v>
      </c>
      <c r="J7" s="101"/>
      <c r="AJC7" s="54"/>
      <c r="AJD7" s="54"/>
      <c r="AJE7" s="54"/>
      <c r="AJF7" s="54"/>
      <c r="AJG7" s="54"/>
      <c r="AJH7" s="54"/>
      <c r="AJI7" s="54"/>
      <c r="AJJ7" s="54"/>
      <c r="AJK7" s="54"/>
      <c r="AJL7" s="54"/>
    </row>
    <row r="8" spans="1:1024" ht="22.9" customHeight="1" x14ac:dyDescent="0.25">
      <c r="A8" s="93">
        <f>+A7+1</f>
        <v>2</v>
      </c>
      <c r="B8" s="94"/>
      <c r="C8" s="95"/>
      <c r="D8" s="95"/>
      <c r="E8" s="96"/>
      <c r="F8" s="95"/>
      <c r="G8" s="84"/>
      <c r="H8" s="100">
        <f>+G8*0.08</f>
        <v>0</v>
      </c>
      <c r="I8" s="65">
        <f>+G8+H8</f>
        <v>0</v>
      </c>
      <c r="J8" s="101"/>
      <c r="AJC8" s="54"/>
      <c r="AJD8" s="54"/>
      <c r="AJE8" s="54"/>
      <c r="AJF8" s="54"/>
      <c r="AJG8" s="54"/>
      <c r="AJH8" s="54"/>
      <c r="AJI8" s="54"/>
      <c r="AJJ8" s="54"/>
      <c r="AJK8" s="54"/>
      <c r="AJL8" s="54"/>
    </row>
    <row r="9" spans="1:1024" ht="22.9" customHeight="1" x14ac:dyDescent="0.25">
      <c r="A9" s="93">
        <f>+A8+1</f>
        <v>3</v>
      </c>
      <c r="B9" s="94"/>
      <c r="C9" s="95"/>
      <c r="D9" s="95"/>
      <c r="E9" s="96"/>
      <c r="F9" s="95"/>
      <c r="G9" s="84"/>
      <c r="H9" s="100">
        <f>+G9*0.08</f>
        <v>0</v>
      </c>
      <c r="I9" s="65">
        <f>+G9+H9</f>
        <v>0</v>
      </c>
      <c r="J9" s="101"/>
      <c r="AJC9" s="54"/>
      <c r="AJD9" s="54"/>
      <c r="AJE9" s="54"/>
      <c r="AJF9" s="54"/>
      <c r="AJG9" s="54"/>
      <c r="AJH9" s="54"/>
      <c r="AJI9" s="54"/>
      <c r="AJJ9" s="54"/>
      <c r="AJK9" s="54"/>
      <c r="AJL9" s="54"/>
    </row>
    <row r="10" spans="1:1024" ht="15.75" x14ac:dyDescent="0.25">
      <c r="A10" s="93"/>
      <c r="B10" s="94"/>
      <c r="C10" s="95"/>
      <c r="D10" s="95"/>
      <c r="E10" s="96"/>
      <c r="F10" s="95"/>
      <c r="G10" s="84"/>
      <c r="H10" s="100"/>
      <c r="I10" s="65"/>
      <c r="J10" s="101"/>
      <c r="AJC10" s="54"/>
      <c r="AJD10" s="54"/>
      <c r="AJE10" s="54"/>
      <c r="AJF10" s="54"/>
      <c r="AJG10" s="54"/>
      <c r="AJH10" s="54"/>
      <c r="AJI10" s="54"/>
      <c r="AJJ10" s="54"/>
      <c r="AJK10" s="54"/>
      <c r="AJL10" s="54"/>
    </row>
    <row r="11" spans="1:1024" ht="21.95" customHeight="1" x14ac:dyDescent="0.25">
      <c r="A11" s="241" t="s">
        <v>130</v>
      </c>
      <c r="B11" s="241"/>
      <c r="C11" s="241"/>
      <c r="D11" s="241"/>
      <c r="E11" s="241"/>
      <c r="F11" s="241"/>
      <c r="G11" s="102"/>
      <c r="H11" s="102"/>
      <c r="I11" s="102"/>
      <c r="K11"/>
    </row>
    <row r="12" spans="1:1024" ht="15.75" x14ac:dyDescent="0.2">
      <c r="A12" s="104"/>
      <c r="B12" s="104"/>
      <c r="C12" s="104"/>
      <c r="D12" s="104"/>
      <c r="E12" s="104"/>
      <c r="F12" s="105"/>
      <c r="G12" s="106"/>
      <c r="H12" s="108"/>
      <c r="I12" s="108"/>
      <c r="K12"/>
    </row>
    <row r="13" spans="1:1024" x14ac:dyDescent="0.2">
      <c r="G13"/>
      <c r="H13"/>
      <c r="I13"/>
      <c r="K13"/>
    </row>
    <row r="14" spans="1:1024" x14ac:dyDescent="0.2">
      <c r="G14"/>
      <c r="H14"/>
      <c r="I14"/>
      <c r="K14"/>
    </row>
    <row r="15" spans="1:1024" ht="15.75" x14ac:dyDescent="0.25">
      <c r="G15" s="112">
        <f>+G7</f>
        <v>0</v>
      </c>
      <c r="H15" s="112">
        <f>+H7</f>
        <v>0</v>
      </c>
      <c r="I15" s="169">
        <f>+I7</f>
        <v>0</v>
      </c>
      <c r="K15" s="101"/>
    </row>
    <row r="17" spans="2:3" ht="30" x14ac:dyDescent="0.25">
      <c r="B17" s="171" t="s">
        <v>249</v>
      </c>
      <c r="C17" s="111">
        <f>+COUNTA(B7:B9)</f>
        <v>0</v>
      </c>
    </row>
  </sheetData>
  <mergeCells count="6">
    <mergeCell ref="A11:F11"/>
    <mergeCell ref="A1:E3"/>
    <mergeCell ref="F1:F3"/>
    <mergeCell ref="G1:G3"/>
    <mergeCell ref="A4:I4"/>
    <mergeCell ref="A6:F6"/>
  </mergeCells>
  <dataValidations count="1">
    <dataValidation operator="equal" allowBlank="1" showErrorMessage="1" sqref="F7:F9">
      <formula1>0</formula1>
      <formula2>0</formula2>
    </dataValidation>
  </dataValidations>
  <pageMargins left="0.31527777777777799" right="0.39374999999999999" top="0.74791666666666701" bottom="0.47222222222222199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ErrorMessage="1">
          <x14:formula1>
            <xm:f>'1.DATOS'!$H$10:$H$11</xm:f>
          </x14:formula1>
          <x14:formula2>
            <xm:f>0</xm:f>
          </x14:formula2>
          <xm:sqref>D7:D9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AMJ16"/>
  <sheetViews>
    <sheetView showGridLines="0" topLeftCell="AP1" zoomScale="60" zoomScaleNormal="60" workbookViewId="0">
      <selection activeCell="AS7" sqref="AS7"/>
    </sheetView>
  </sheetViews>
  <sheetFormatPr baseColWidth="10" defaultColWidth="9.140625" defaultRowHeight="12.75" x14ac:dyDescent="0.2"/>
  <cols>
    <col min="1" max="1" width="9.140625" style="53" customWidth="1"/>
    <col min="2" max="2" width="22" style="53" customWidth="1"/>
    <col min="3" max="3" width="23.5703125" style="53" customWidth="1"/>
    <col min="4" max="4" width="21.42578125" style="53" customWidth="1"/>
    <col min="5" max="5" width="20.140625" style="53" customWidth="1"/>
    <col min="6" max="6" width="21.42578125" style="53" customWidth="1"/>
    <col min="7" max="7" width="16.85546875" style="54" customWidth="1"/>
    <col min="8" max="8" width="23.5703125" style="54" customWidth="1"/>
    <col min="9" max="9" width="47.5703125" style="54" customWidth="1"/>
    <col min="10" max="10" width="29.28515625" style="54" customWidth="1"/>
    <col min="11" max="11" width="17.28515625" style="54" customWidth="1"/>
    <col min="12" max="13" width="23.5703125" style="54" customWidth="1"/>
    <col min="14" max="14" width="18.85546875" style="54" customWidth="1"/>
    <col min="15" max="17" width="23.5703125" style="54" customWidth="1"/>
    <col min="18" max="18" width="18" style="54" customWidth="1"/>
    <col min="19" max="20" width="17.85546875" style="54" customWidth="1"/>
    <col min="21" max="21" width="17.140625" style="54" customWidth="1"/>
    <col min="22" max="22" width="21" style="54" customWidth="1"/>
    <col min="23" max="23" width="17.140625" style="54" customWidth="1"/>
    <col min="24" max="24" width="18.5703125" style="54" customWidth="1"/>
    <col min="25" max="25" width="25" style="54" customWidth="1"/>
    <col min="26" max="26" width="19.42578125" style="55" customWidth="1"/>
    <col min="27" max="27" width="18.85546875" style="55" customWidth="1"/>
    <col min="28" max="28" width="25" style="55" customWidth="1"/>
    <col min="29" max="29" width="23.7109375" style="55" customWidth="1"/>
    <col min="30" max="30" width="24.5703125" style="55" customWidth="1"/>
    <col min="31" max="31" width="24" style="55" customWidth="1"/>
    <col min="32" max="32" width="16.42578125" style="55" customWidth="1"/>
    <col min="33" max="33" width="18" style="55" customWidth="1"/>
    <col min="34" max="34" width="19.42578125" style="55" customWidth="1"/>
    <col min="35" max="35" width="18.42578125" style="55" customWidth="1"/>
    <col min="36" max="36" width="20.85546875" style="55" customWidth="1"/>
    <col min="37" max="37" width="22.42578125" style="55" customWidth="1"/>
    <col min="38" max="38" width="20.85546875" style="55" customWidth="1"/>
    <col min="39" max="39" width="22" style="55" customWidth="1"/>
    <col min="40" max="40" width="24.42578125" style="55" customWidth="1"/>
    <col min="41" max="41" width="23" style="55" customWidth="1"/>
    <col min="42" max="42" width="21.5703125" style="54" customWidth="1"/>
    <col min="43" max="43" width="24.5703125" style="54" customWidth="1"/>
    <col min="44" max="44" width="24" style="54" customWidth="1"/>
    <col min="45" max="45" width="22.140625" style="54" customWidth="1"/>
    <col min="46" max="46" width="23" style="54" customWidth="1"/>
    <col min="47" max="47" width="19.42578125" style="54" customWidth="1"/>
    <col min="48" max="48" width="20.85546875" style="54" customWidth="1"/>
    <col min="49" max="49" width="19.85546875" style="54" customWidth="1"/>
    <col min="50" max="50" width="23" style="54" customWidth="1"/>
    <col min="51" max="51" width="19.42578125" style="54" customWidth="1"/>
    <col min="52" max="52" width="21.5703125" style="54" customWidth="1"/>
    <col min="53" max="53" width="23.7109375" style="54" customWidth="1"/>
    <col min="54" max="54" width="20.28515625" style="54" customWidth="1"/>
    <col min="55" max="55" width="19.42578125" style="54" customWidth="1"/>
    <col min="56" max="56" width="19.85546875" style="54" customWidth="1"/>
    <col min="57" max="57" width="21.5703125" style="54" customWidth="1"/>
    <col min="58" max="58" width="19.7109375" style="54" customWidth="1"/>
    <col min="59" max="59" width="23.85546875" style="54" customWidth="1"/>
    <col min="60" max="60" width="21" style="54" customWidth="1"/>
    <col min="61" max="989" width="9.140625" style="54" customWidth="1"/>
    <col min="990" max="1025" width="9.140625" customWidth="1"/>
  </cols>
  <sheetData>
    <row r="1" spans="1:1024" ht="33" customHeight="1" x14ac:dyDescent="0.2">
      <c r="A1" s="5" t="s">
        <v>372</v>
      </c>
      <c r="B1" s="5"/>
      <c r="C1" s="5"/>
      <c r="D1" s="5"/>
      <c r="E1" s="5"/>
      <c r="F1" s="5"/>
      <c r="G1" s="4" t="s">
        <v>51</v>
      </c>
      <c r="H1" s="3">
        <f>+'1.DATOS'!F4</f>
        <v>43373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2" t="s">
        <v>132</v>
      </c>
      <c r="AA1" s="2"/>
      <c r="AB1" s="57" t="s">
        <v>133</v>
      </c>
      <c r="AC1" s="57" t="s">
        <v>133</v>
      </c>
      <c r="AD1" s="57" t="s">
        <v>133</v>
      </c>
      <c r="AE1" s="1" t="s">
        <v>134</v>
      </c>
      <c r="AF1" s="1"/>
      <c r="AG1" s="57" t="s">
        <v>133</v>
      </c>
      <c r="AH1" s="1" t="s">
        <v>134</v>
      </c>
      <c r="AI1" s="1"/>
      <c r="AJ1" s="1"/>
      <c r="AK1" s="209"/>
      <c r="AL1" s="1" t="s">
        <v>134</v>
      </c>
      <c r="AM1" s="1"/>
      <c r="AN1"/>
      <c r="AO1"/>
      <c r="AP1"/>
      <c r="AQ1"/>
      <c r="AR1"/>
      <c r="AS1" s="57" t="s">
        <v>133</v>
      </c>
      <c r="AT1" s="57" t="s">
        <v>133</v>
      </c>
      <c r="AU1" s="57" t="s">
        <v>133</v>
      </c>
      <c r="AV1" s="57" t="s">
        <v>133</v>
      </c>
      <c r="AW1" s="57" t="s">
        <v>133</v>
      </c>
      <c r="AX1" s="57" t="s">
        <v>136</v>
      </c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</row>
    <row r="2" spans="1:1024" ht="33" customHeight="1" x14ac:dyDescent="0.2">
      <c r="A2" s="5"/>
      <c r="B2" s="5"/>
      <c r="C2" s="5"/>
      <c r="D2" s="5"/>
      <c r="E2" s="5"/>
      <c r="F2" s="5"/>
      <c r="G2" s="4"/>
      <c r="H2" s="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 s="210" t="s">
        <v>137</v>
      </c>
      <c r="AA2" s="210"/>
      <c r="AB2" s="60">
        <v>200</v>
      </c>
      <c r="AC2" s="60">
        <v>300</v>
      </c>
      <c r="AD2" s="60">
        <v>50</v>
      </c>
      <c r="AE2" s="1"/>
      <c r="AF2" s="1"/>
      <c r="AG2" s="60">
        <v>50</v>
      </c>
      <c r="AH2" s="1"/>
      <c r="AI2" s="1"/>
      <c r="AJ2" s="1"/>
      <c r="AK2" s="209"/>
      <c r="AL2" s="1"/>
      <c r="AM2" s="1"/>
      <c r="AN2"/>
      <c r="AO2"/>
      <c r="AP2"/>
      <c r="AQ2"/>
      <c r="AR2"/>
      <c r="AS2" s="60">
        <v>50</v>
      </c>
      <c r="AT2" s="60">
        <v>200</v>
      </c>
      <c r="AU2" s="60">
        <v>100</v>
      </c>
      <c r="AV2" s="60">
        <v>300</v>
      </c>
      <c r="AW2" s="60">
        <v>100</v>
      </c>
      <c r="AX2" s="61">
        <v>0.4</v>
      </c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</row>
    <row r="3" spans="1:1024" s="54" customFormat="1" ht="30.75" customHeight="1" x14ac:dyDescent="0.2">
      <c r="A3" s="5"/>
      <c r="B3" s="5"/>
      <c r="C3" s="5"/>
      <c r="D3" s="5"/>
      <c r="E3" s="5"/>
      <c r="F3" s="5"/>
      <c r="G3" s="4"/>
      <c r="H3" s="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 s="211" t="s">
        <v>138</v>
      </c>
      <c r="AA3" s="211"/>
      <c r="AB3" s="62" t="s">
        <v>139</v>
      </c>
      <c r="AC3" s="62" t="s">
        <v>140</v>
      </c>
      <c r="AD3" s="62" t="s">
        <v>141</v>
      </c>
      <c r="AE3" s="62" t="s">
        <v>142</v>
      </c>
      <c r="AF3" s="62" t="s">
        <v>143</v>
      </c>
      <c r="AG3" s="62" t="s">
        <v>144</v>
      </c>
      <c r="AH3" s="62" t="s">
        <v>145</v>
      </c>
      <c r="AI3" s="62" t="s">
        <v>146</v>
      </c>
      <c r="AJ3" s="62" t="s">
        <v>147</v>
      </c>
      <c r="AK3" s="209"/>
      <c r="AL3" s="62" t="s">
        <v>148</v>
      </c>
      <c r="AM3" s="62" t="s">
        <v>148</v>
      </c>
      <c r="AN3" s="106"/>
      <c r="AO3" s="106"/>
      <c r="AP3" s="106"/>
      <c r="AQ3" s="106"/>
      <c r="AR3" s="106"/>
      <c r="AS3" s="62" t="s">
        <v>151</v>
      </c>
      <c r="AT3" s="62" t="s">
        <v>152</v>
      </c>
      <c r="AU3" s="62" t="s">
        <v>153</v>
      </c>
      <c r="AV3" s="62" t="s">
        <v>154</v>
      </c>
      <c r="AW3" s="62" t="s">
        <v>155</v>
      </c>
      <c r="AX3" s="62" t="s">
        <v>148</v>
      </c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/>
      <c r="ALH3"/>
      <c r="ALI3"/>
      <c r="ALJ3"/>
      <c r="ALK3"/>
      <c r="AMB3"/>
      <c r="AMC3"/>
      <c r="AMD3"/>
      <c r="AME3"/>
      <c r="AMF3"/>
      <c r="AMG3"/>
      <c r="AMH3"/>
      <c r="AMI3"/>
      <c r="AMJ3"/>
    </row>
    <row r="4" spans="1:1024" ht="49.5" customHeight="1" x14ac:dyDescent="0.25">
      <c r="A4" s="212" t="s">
        <v>156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3" t="s">
        <v>157</v>
      </c>
      <c r="N4" s="213"/>
      <c r="O4" s="213"/>
      <c r="P4" s="213"/>
      <c r="Q4" s="213"/>
      <c r="R4" s="212" t="s">
        <v>158</v>
      </c>
      <c r="S4" s="212"/>
      <c r="T4" s="212"/>
      <c r="U4" s="212"/>
      <c r="V4" s="212"/>
      <c r="W4" s="212"/>
      <c r="X4" s="212"/>
      <c r="Y4" s="212"/>
      <c r="Z4" s="209" t="s">
        <v>102</v>
      </c>
      <c r="AA4" s="209"/>
      <c r="AB4" s="214" t="s">
        <v>159</v>
      </c>
      <c r="AC4" s="214"/>
      <c r="AD4" s="214"/>
      <c r="AE4" s="214"/>
      <c r="AF4" s="214"/>
      <c r="AG4" s="214"/>
      <c r="AH4" s="214"/>
      <c r="AI4" s="214"/>
      <c r="AJ4" s="214"/>
      <c r="AK4" s="209" t="s">
        <v>160</v>
      </c>
      <c r="AL4" s="239" t="s">
        <v>253</v>
      </c>
      <c r="AM4" s="239"/>
      <c r="AN4" s="240" t="s">
        <v>255</v>
      </c>
      <c r="AO4" s="240"/>
      <c r="AP4" s="217"/>
      <c r="AQ4" s="217"/>
      <c r="AR4" s="217"/>
      <c r="AS4" s="218" t="s">
        <v>163</v>
      </c>
      <c r="AT4" s="218"/>
      <c r="AU4" s="218"/>
      <c r="AV4" s="218"/>
      <c r="AW4" s="218"/>
      <c r="AX4" s="218"/>
      <c r="AY4" s="219" t="s">
        <v>164</v>
      </c>
      <c r="AZ4" s="219"/>
      <c r="BA4" s="219"/>
      <c r="BB4" s="219"/>
      <c r="BC4" s="219"/>
      <c r="BD4" s="219"/>
      <c r="BE4" s="219"/>
      <c r="BF4" s="220" t="s">
        <v>165</v>
      </c>
      <c r="BG4" s="220"/>
      <c r="BH4" s="65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</row>
    <row r="5" spans="1:1024" s="75" customFormat="1" ht="128.25" customHeight="1" x14ac:dyDescent="0.2">
      <c r="A5" s="66" t="s">
        <v>98</v>
      </c>
      <c r="B5" s="67" t="s">
        <v>166</v>
      </c>
      <c r="C5" s="67" t="s">
        <v>167</v>
      </c>
      <c r="D5" s="67" t="s">
        <v>168</v>
      </c>
      <c r="E5" s="66" t="s">
        <v>373</v>
      </c>
      <c r="F5" s="66" t="s">
        <v>374</v>
      </c>
      <c r="G5" s="66" t="s">
        <v>170</v>
      </c>
      <c r="H5" s="66" t="s">
        <v>21</v>
      </c>
      <c r="I5" s="66" t="s">
        <v>171</v>
      </c>
      <c r="J5" s="66" t="s">
        <v>70</v>
      </c>
      <c r="K5" s="66" t="s">
        <v>172</v>
      </c>
      <c r="L5" s="66" t="s">
        <v>173</v>
      </c>
      <c r="M5" s="66" t="s">
        <v>174</v>
      </c>
      <c r="N5" s="66" t="s">
        <v>175</v>
      </c>
      <c r="O5" s="66" t="s">
        <v>176</v>
      </c>
      <c r="P5" s="66" t="s">
        <v>262</v>
      </c>
      <c r="Q5" s="66" t="s">
        <v>178</v>
      </c>
      <c r="R5" s="66" t="s">
        <v>319</v>
      </c>
      <c r="S5" s="66" t="s">
        <v>320</v>
      </c>
      <c r="T5" s="66" t="s">
        <v>321</v>
      </c>
      <c r="U5" s="66" t="s">
        <v>182</v>
      </c>
      <c r="V5" s="66" t="s">
        <v>183</v>
      </c>
      <c r="W5" s="66" t="s">
        <v>184</v>
      </c>
      <c r="X5" s="66" t="s">
        <v>185</v>
      </c>
      <c r="Y5" s="66" t="s">
        <v>267</v>
      </c>
      <c r="Z5" s="68" t="s">
        <v>375</v>
      </c>
      <c r="AA5" s="68" t="s">
        <v>376</v>
      </c>
      <c r="AB5" s="69" t="s">
        <v>377</v>
      </c>
      <c r="AC5" s="69" t="s">
        <v>193</v>
      </c>
      <c r="AD5" s="69" t="s">
        <v>378</v>
      </c>
      <c r="AE5" s="69" t="s">
        <v>18</v>
      </c>
      <c r="AF5" s="69" t="s">
        <v>379</v>
      </c>
      <c r="AG5" s="69" t="s">
        <v>196</v>
      </c>
      <c r="AH5" s="69" t="s">
        <v>197</v>
      </c>
      <c r="AI5" s="69" t="s">
        <v>198</v>
      </c>
      <c r="AJ5" s="69" t="s">
        <v>199</v>
      </c>
      <c r="AK5" s="209"/>
      <c r="AL5" s="70" t="s">
        <v>380</v>
      </c>
      <c r="AM5" s="70" t="s">
        <v>381</v>
      </c>
      <c r="AN5" s="69" t="s">
        <v>382</v>
      </c>
      <c r="AO5" s="69" t="s">
        <v>383</v>
      </c>
      <c r="AP5" s="70" t="s">
        <v>384</v>
      </c>
      <c r="AQ5" s="70" t="s">
        <v>385</v>
      </c>
      <c r="AR5" s="70" t="s">
        <v>386</v>
      </c>
      <c r="AS5" s="71" t="s">
        <v>213</v>
      </c>
      <c r="AT5" s="71" t="s">
        <v>214</v>
      </c>
      <c r="AU5" s="71" t="s">
        <v>215</v>
      </c>
      <c r="AV5" s="71" t="s">
        <v>216</v>
      </c>
      <c r="AW5" s="71" t="s">
        <v>217</v>
      </c>
      <c r="AX5" s="71" t="s">
        <v>218</v>
      </c>
      <c r="AY5" s="72" t="s">
        <v>219</v>
      </c>
      <c r="AZ5" s="72" t="s">
        <v>298</v>
      </c>
      <c r="BA5" s="72" t="s">
        <v>299</v>
      </c>
      <c r="BB5" s="72" t="s">
        <v>222</v>
      </c>
      <c r="BC5" s="72" t="s">
        <v>223</v>
      </c>
      <c r="BD5" s="72" t="s">
        <v>224</v>
      </c>
      <c r="BE5" s="72" t="s">
        <v>225</v>
      </c>
      <c r="BF5" s="72" t="s">
        <v>226</v>
      </c>
      <c r="BG5" s="72" t="s">
        <v>387</v>
      </c>
      <c r="BH5" s="73" t="s">
        <v>304</v>
      </c>
      <c r="BI5" s="74"/>
      <c r="BJ5" s="74"/>
      <c r="ALB5" s="74"/>
      <c r="ALC5" s="74"/>
      <c r="ALD5" s="74"/>
      <c r="ALE5" s="74"/>
      <c r="ALF5" s="74"/>
      <c r="ALG5" s="74"/>
      <c r="ALH5" s="74"/>
      <c r="ALI5" s="74"/>
      <c r="ALJ5"/>
      <c r="ALK5"/>
      <c r="AMB5"/>
      <c r="AMC5"/>
      <c r="AMD5"/>
      <c r="AME5"/>
      <c r="AMF5"/>
      <c r="AMG5"/>
      <c r="AMH5"/>
      <c r="AMI5"/>
      <c r="AMJ5"/>
    </row>
    <row r="6" spans="1:1024" ht="22.7" customHeight="1" x14ac:dyDescent="0.2">
      <c r="A6" s="221" t="s">
        <v>229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76"/>
      <c r="S6" s="76"/>
      <c r="T6" s="76"/>
      <c r="U6" s="77"/>
      <c r="V6" s="77"/>
      <c r="W6" s="77"/>
      <c r="X6" s="77"/>
      <c r="Y6" s="77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 t="s">
        <v>231</v>
      </c>
      <c r="AM6" s="78"/>
      <c r="AN6" s="78" t="s">
        <v>232</v>
      </c>
      <c r="AO6" s="78" t="s">
        <v>233</v>
      </c>
      <c r="AP6" s="78" t="s">
        <v>238</v>
      </c>
      <c r="AQ6" s="78" t="s">
        <v>239</v>
      </c>
      <c r="AR6" s="78" t="s">
        <v>240</v>
      </c>
      <c r="AS6" s="78"/>
      <c r="AT6" s="78"/>
      <c r="AU6" s="78"/>
      <c r="AV6" s="78"/>
      <c r="AW6" s="78"/>
      <c r="AX6" s="78"/>
      <c r="AY6" s="78" t="s">
        <v>241</v>
      </c>
      <c r="AZ6" s="78" t="s">
        <v>242</v>
      </c>
      <c r="BA6" s="78" t="s">
        <v>243</v>
      </c>
      <c r="BB6" s="78" t="s">
        <v>244</v>
      </c>
      <c r="BC6" s="78" t="s">
        <v>245</v>
      </c>
      <c r="BD6" s="78" t="s">
        <v>246</v>
      </c>
      <c r="BE6" s="78" t="s">
        <v>247</v>
      </c>
      <c r="BF6" s="78" t="s">
        <v>248</v>
      </c>
      <c r="BG6" s="78" t="s">
        <v>248</v>
      </c>
      <c r="BH6" s="78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</row>
    <row r="7" spans="1:1024" s="54" customFormat="1" ht="30" customHeight="1" x14ac:dyDescent="0.25">
      <c r="A7" s="93">
        <v>1</v>
      </c>
      <c r="B7" s="94"/>
      <c r="C7" s="95"/>
      <c r="D7" s="95"/>
      <c r="E7" s="95"/>
      <c r="F7" s="96"/>
      <c r="G7" s="95"/>
      <c r="H7" s="95"/>
      <c r="I7" s="95"/>
      <c r="J7" s="95"/>
      <c r="K7" s="95"/>
      <c r="L7" s="84">
        <f>+(IF(AND(B7&gt;0,F7&gt;0),SUMIFS('2.CARGOS-SALARIOS'!$F$13:$F$105,'2.CARGOS-SALARIOS'!$D$13:$D$105,I7,'2.CARGOS-SALARIOS'!$E$13:$E$105,J7,'2.CARGOS-SALARIOS'!$C$13:$C$105,H7),0))</f>
        <v>0</v>
      </c>
      <c r="M7" s="84">
        <f>INT(IF(L7&gt;0,((YEARFRAC(F7,$H$1,3))),0))</f>
        <v>0</v>
      </c>
      <c r="N7" s="81"/>
      <c r="O7" s="84">
        <f>SUM(M7:N7)</f>
        <v>0</v>
      </c>
      <c r="P7" s="81"/>
      <c r="Q7" s="85">
        <f>+IF(AND(F7&gt;0,OR(MONTH($H$1)=3,MONTH($H$1)=6,MONTH($H$1)=9,MONTH($H$1)=12),MONTH(F7)&lt;=MONTH($H$1),MONTH(F7)&gt;=MONTH($H$1)-2),VLOOKUP(DAYS360(F7,$H$1),'1.DATOS'!$G$27:$I$42,2),0)</f>
        <v>0</v>
      </c>
      <c r="R7" s="81"/>
      <c r="S7" s="81"/>
      <c r="T7" s="81"/>
      <c r="U7" s="81"/>
      <c r="V7" s="81"/>
      <c r="W7" s="81"/>
      <c r="X7" s="81"/>
      <c r="Y7" s="81"/>
      <c r="Z7" s="98">
        <f>+IF(H7='1.DATOS'!$H$13,0,L7)</f>
        <v>0</v>
      </c>
      <c r="AA7" s="98">
        <f>+IF(H7='1.DATOS'!$H$13,L7,0)</f>
        <v>0</v>
      </c>
      <c r="AB7" s="98">
        <f>+IF(OR(Z7&gt;0,AA7&gt;0),'1.DATOS'!D10*$AAF$2*W7,0)</f>
        <v>0</v>
      </c>
      <c r="AC7" s="98" t="b">
        <f>+IF(OR(Z7&gt;0,AA7&gt;0),IF(OR(I7="TIEMPO COMPLETO",I7="Dedicación Exclusiva"),'1.DATOS'!$D$10*$AC$2,0))</f>
        <v>0</v>
      </c>
      <c r="AD7" s="98" t="b">
        <f>+IF(OR(Z7&gt;0,AA7&gt;0),IF(OR(J7='2.CARGOS-SALARIOS'!$J$13,J7='2.CARGOS-SALARIOS'!$J$14),'1.DATOS'!$D$10*$AD$2,"No Apĺica"))</f>
        <v>0</v>
      </c>
      <c r="AE7" s="98" t="b">
        <f>+IF(OR(Z7&gt;0,AA7&gt;0),IF(OR(H7='1.DATOS'!$H$15,H7='1.DATOS'!$H$16),(Z7+AA7)*VLOOKUP(Y7,'1.DATOS'!$C$14:$E$22,3,0),"No Aplica"))</f>
        <v>0</v>
      </c>
      <c r="AF7" s="98" t="b">
        <f>+IF(OR(Z7&gt;0,AA7&gt;0),(Z7+AA7)*0.015*O7)</f>
        <v>0</v>
      </c>
      <c r="AG7" s="98" t="str">
        <f>+IF(AND(OR(Z7&gt;0,AA7&gt;0),H7='1.DATOS'!$H$16,K7="SI"),'1.DATOS'!$D$10*$AG$2,"No Aplica")</f>
        <v>No Aplica</v>
      </c>
      <c r="AH7" s="98" t="str">
        <f>+IF(AND(Z7&gt;0,H7='1.DATOS'!$H$14,Y7='1.DATOS'!$C$19),Z7*'1.DATOS'!$E$19,"No Aplica")</f>
        <v>No Aplica</v>
      </c>
      <c r="AI7" s="98" t="str">
        <f>+IF(AND(Z7&gt;0,H7='1.DATOS'!$H$14,Y7='1.DATOS'!$C$20),Z7*'1.DATOS'!$E$20,"No Aplica")</f>
        <v>No Aplica</v>
      </c>
      <c r="AJ7" s="98" t="str">
        <f>+IF(AND(Z7&gt;0,H7='1.DATOS'!$H$14,Y7='1.DATOS'!$C$21),Z7*'1.DATOS'!$E$21,"No Aplica")</f>
        <v>No Aplica</v>
      </c>
      <c r="AK7" s="98">
        <f>SUM(Z7:AJ7)</f>
        <v>0</v>
      </c>
      <c r="AL7" s="100" t="b">
        <f>+IF(OR(Z7&gt;0,AA7&gt;0),('1.DATOS'!$D$10*'1.DATOS'!$F$10*'1.DATOS'!$G$10))</f>
        <v>0</v>
      </c>
      <c r="AM7" s="100">
        <v>0</v>
      </c>
      <c r="AN7" s="100">
        <f>+((((AK7+AP7)+(AK7+AP7)/30*120/12))/30*105)*0</f>
        <v>0</v>
      </c>
      <c r="AO7" s="100">
        <f>+((((AK7+AP7)+(AK7+AP7)/30*105/12))/30*120)*0</f>
        <v>0</v>
      </c>
      <c r="AP7" s="100">
        <f>+AK7*'1.DATOS'!$J$14</f>
        <v>0</v>
      </c>
      <c r="AQ7" s="100">
        <f>+IF(OR('1.DATOS'!$D$4='1.DATOS'!$C$28,'1.DATOS'!$D$4='1.DATOS'!$C$31,'1.DATOS'!$D$4='1.DATOS'!$C$34,'1.DATOS'!$D$4='1.DATOS'!$C$37),AK7/30*530/360,"Falso")</f>
        <v>0</v>
      </c>
      <c r="AR7" s="100">
        <v>0</v>
      </c>
      <c r="AS7" s="100" t="b">
        <f>+IF(AK7&gt;0,IF(OR(I7="TIEMPO COMPLETO",I7="Dedicación Exclusiva"),($AS$2*'1.DATOS'!$D$10*U7)))</f>
        <v>0</v>
      </c>
      <c r="AT7" s="100">
        <v>0</v>
      </c>
      <c r="AU7" s="100">
        <v>0</v>
      </c>
      <c r="AV7" s="100">
        <v>0</v>
      </c>
      <c r="AW7" s="100">
        <v>0</v>
      </c>
      <c r="AX7" s="100" t="b">
        <f>+IF(OR(Z7&gt;0,AA7&gt;0),IF(OR(I7="TIEMPO COMPLETO",I7="Dedicación Exclusiva"),('1.DATOS'!$C$10*$AX$2)*V7))</f>
        <v>0</v>
      </c>
      <c r="AY7" s="100">
        <f>+AK7*0.01</f>
        <v>0</v>
      </c>
      <c r="AZ7" s="100">
        <v>0</v>
      </c>
      <c r="BA7" s="100">
        <v>0</v>
      </c>
      <c r="BB7" s="100">
        <v>0</v>
      </c>
      <c r="BC7" s="100">
        <f>+(BA7+BB7)*0.12</f>
        <v>0</v>
      </c>
      <c r="BD7" s="100">
        <v>0</v>
      </c>
      <c r="BE7" s="100">
        <v>0</v>
      </c>
      <c r="BF7" s="100">
        <v>0</v>
      </c>
      <c r="BG7" s="100">
        <v>0</v>
      </c>
      <c r="BH7" s="65">
        <f>+SUM(AK7:BG7)</f>
        <v>0</v>
      </c>
      <c r="BI7" s="101"/>
      <c r="ALJ7"/>
      <c r="ALK7"/>
      <c r="AMB7"/>
      <c r="AMC7"/>
      <c r="AMD7"/>
      <c r="AME7"/>
      <c r="AMF7"/>
      <c r="AMG7"/>
      <c r="AMH7"/>
      <c r="AMI7"/>
      <c r="AMJ7"/>
    </row>
    <row r="8" spans="1:1024" s="54" customFormat="1" ht="30" customHeight="1" x14ac:dyDescent="0.25">
      <c r="A8" s="93">
        <f>+A7+1</f>
        <v>2</v>
      </c>
      <c r="B8" s="94"/>
      <c r="C8" s="95"/>
      <c r="D8" s="95"/>
      <c r="E8" s="95"/>
      <c r="F8" s="96"/>
      <c r="G8" s="95"/>
      <c r="H8" s="95"/>
      <c r="I8" s="95"/>
      <c r="J8" s="95"/>
      <c r="K8" s="95"/>
      <c r="L8" s="84">
        <f>+(IF(AND(B8&gt;0,F8&gt;0),SUMIFS('2.CARGOS-SALARIOS'!$F$13:$F$105,'2.CARGOS-SALARIOS'!$D$13:$D$105,I8,'2.CARGOS-SALARIOS'!$E$13:$E$105,J8,'2.CARGOS-SALARIOS'!$C$13:$C$105,H8),0))</f>
        <v>0</v>
      </c>
      <c r="M8" s="84">
        <f>INT(IF(L8&gt;0,((YEARFRAC(F8,$H$1,3))),0))</f>
        <v>0</v>
      </c>
      <c r="N8" s="81"/>
      <c r="O8" s="84">
        <f>SUM(M8:N8)</f>
        <v>0</v>
      </c>
      <c r="P8" s="81"/>
      <c r="Q8" s="85">
        <f>+IF(AND(F8&gt;0,OR(MONTH($H$1)=3,MONTH($H$1)=6,MONTH($H$1)=9,MONTH($H$1)=12),MONTH(F8)&lt;=MONTH($H$1),MONTH(F8)&gt;=MONTH($H$1)-2),VLOOKUP(DAYS360(F8,$H$1),'1.DATOS'!$G$27:$I$42,2),0)</f>
        <v>0</v>
      </c>
      <c r="R8" s="81"/>
      <c r="S8" s="81"/>
      <c r="T8" s="81"/>
      <c r="U8" s="81"/>
      <c r="V8" s="81"/>
      <c r="W8" s="81"/>
      <c r="X8" s="81"/>
      <c r="Y8" s="81"/>
      <c r="Z8" s="98">
        <f>+IF(H8='1.DATOS'!$H$13,0,L8)</f>
        <v>0</v>
      </c>
      <c r="AA8" s="98">
        <f>+IF(H8='1.DATOS'!$H$13,L8,0)</f>
        <v>0</v>
      </c>
      <c r="AB8" s="98">
        <f>+IF(OR(Z8&gt;0,AA8&gt;0),'1.DATOS'!D11*$AAF$2*W8,0)</f>
        <v>0</v>
      </c>
      <c r="AC8" s="98" t="b">
        <f>+IF(OR(Z8&gt;0,AA8&gt;0),IF(OR(I8="TIEMPO COMPLETO",I8="Dedicación Exclusiva"),'1.DATOS'!$D$10*$AC$2,0))</f>
        <v>0</v>
      </c>
      <c r="AD8" s="98" t="b">
        <f>+IF(OR(Z8&gt;0,AA8&gt;0),IF(OR(J8='2.CARGOS-SALARIOS'!$J$13,J8='2.CARGOS-SALARIOS'!$J$14),'1.DATOS'!$D$10*$AD$2,"No Apĺica"))</f>
        <v>0</v>
      </c>
      <c r="AE8" s="98" t="b">
        <f>+IF(OR(Z8&gt;0,AA8&gt;0),IF(OR(H8='1.DATOS'!$H$15,H8='1.DATOS'!$H$16),(Z8+AA8)*VLOOKUP(Y8,'1.DATOS'!$C$14:$E$22,3,0),"No Aplica"))</f>
        <v>0</v>
      </c>
      <c r="AF8" s="98" t="b">
        <f>+IF(OR(Z8&gt;0,AA8&gt;0),(Z8+AA8)*0.015*O8)</f>
        <v>0</v>
      </c>
      <c r="AG8" s="98" t="str">
        <f>+IF(AND(OR(Z8&gt;0,AA8&gt;0),H8='1.DATOS'!$H$16,K8="SI"),'1.DATOS'!$D$10*$AG$2,"No Aplica")</f>
        <v>No Aplica</v>
      </c>
      <c r="AH8" s="98" t="str">
        <f>+IF(AND(Z8&gt;0,H8='1.DATOS'!$H$14,Y8='1.DATOS'!$C$19),Z8*'1.DATOS'!$E$19,"No Aplica")</f>
        <v>No Aplica</v>
      </c>
      <c r="AI8" s="98" t="str">
        <f>+IF(AND(Z8&gt;0,H8='1.DATOS'!$H$14,Y8='1.DATOS'!$C$20),Z8*'1.DATOS'!$E$20,"No Aplica")</f>
        <v>No Aplica</v>
      </c>
      <c r="AJ8" s="98" t="str">
        <f>+IF(AND(Z8&gt;0,H8='1.DATOS'!$H$14,Y8='1.DATOS'!$C$21),Z8*'1.DATOS'!$E$21,"No Aplica")</f>
        <v>No Aplica</v>
      </c>
      <c r="AK8" s="98">
        <f>SUM(Z8:AJ8)</f>
        <v>0</v>
      </c>
      <c r="AL8" s="100" t="b">
        <f>+IF(OR(Z8&gt;0,AA8&gt;0),('1.DATOS'!$D$10*'1.DATOS'!$F$10*'1.DATOS'!$G$10))</f>
        <v>0</v>
      </c>
      <c r="AM8" s="100">
        <v>0</v>
      </c>
      <c r="AN8" s="100">
        <f>+((((AK8+AP8)+(AK8+AP8)/30*120/12))/30*105)*0</f>
        <v>0</v>
      </c>
      <c r="AO8" s="100">
        <f>+((((AK8+AP8)+(AK8+AP8)/30*105/12))/30*120)*0</f>
        <v>0</v>
      </c>
      <c r="AP8" s="100">
        <f>+AK8*'1.DATOS'!$J$14</f>
        <v>0</v>
      </c>
      <c r="AQ8" s="100">
        <f>+IF(OR('1.DATOS'!$D$4='1.DATOS'!$C$28,'1.DATOS'!$D$4='1.DATOS'!$C$31,'1.DATOS'!$D$4='1.DATOS'!$C$34,'1.DATOS'!$D$4='1.DATOS'!$C$37),AK8/30*530/360,"Falso")</f>
        <v>0</v>
      </c>
      <c r="AR8" s="100">
        <v>0</v>
      </c>
      <c r="AS8" s="100" t="b">
        <f>+IF(AK8&gt;0,IF(OR(I8="TIEMPO COMPLETO",I8="Dedicación Exclusiva"),($AS$2*'1.DATOS'!$D$10*U8)))</f>
        <v>0</v>
      </c>
      <c r="AT8" s="100">
        <v>0</v>
      </c>
      <c r="AU8" s="100">
        <v>0</v>
      </c>
      <c r="AV8" s="100">
        <v>0</v>
      </c>
      <c r="AW8" s="100">
        <v>0</v>
      </c>
      <c r="AX8" s="100" t="b">
        <f>+IF(OR(Z8&gt;0,AA8&gt;0),IF(OR(I8="TIEMPO COMPLETO",I8="Dedicación Exclusiva"),('1.DATOS'!$C$10*$AX$2)*V8))</f>
        <v>0</v>
      </c>
      <c r="AY8" s="100">
        <f>+AK8*0.01</f>
        <v>0</v>
      </c>
      <c r="AZ8" s="100">
        <v>0</v>
      </c>
      <c r="BA8" s="100">
        <v>0</v>
      </c>
      <c r="BB8" s="100">
        <v>0</v>
      </c>
      <c r="BC8" s="100">
        <f>+(BA8+BB8)*0.12</f>
        <v>0</v>
      </c>
      <c r="BD8" s="100">
        <v>0</v>
      </c>
      <c r="BE8" s="100">
        <v>0</v>
      </c>
      <c r="BF8" s="100">
        <v>0</v>
      </c>
      <c r="BG8" s="100">
        <v>0</v>
      </c>
      <c r="BH8" s="65">
        <f>+SUM(AK8:BG8)</f>
        <v>0</v>
      </c>
      <c r="BI8" s="101"/>
      <c r="ALJ8"/>
      <c r="ALK8"/>
      <c r="AMB8"/>
      <c r="AMC8"/>
      <c r="AMD8"/>
      <c r="AME8"/>
      <c r="AMF8"/>
      <c r="AMG8"/>
      <c r="AMH8"/>
      <c r="AMI8"/>
      <c r="AMJ8"/>
    </row>
    <row r="9" spans="1:1024" s="54" customFormat="1" ht="30" customHeight="1" x14ac:dyDescent="0.25">
      <c r="A9" s="93">
        <f>+A8+1</f>
        <v>3</v>
      </c>
      <c r="B9" s="94"/>
      <c r="C9" s="95"/>
      <c r="D9" s="95"/>
      <c r="E9" s="95"/>
      <c r="F9" s="96"/>
      <c r="G9" s="95"/>
      <c r="H9" s="95"/>
      <c r="I9" s="95"/>
      <c r="J9" s="95"/>
      <c r="K9" s="95"/>
      <c r="L9" s="84">
        <f>+(IF(AND(B9&gt;0,F9&gt;0),SUMIFS('2.CARGOS-SALARIOS'!$F$13:$F$105,'2.CARGOS-SALARIOS'!$D$13:$D$105,I9,'2.CARGOS-SALARIOS'!$E$13:$E$105,J9,'2.CARGOS-SALARIOS'!$C$13:$C$105,H9),0))</f>
        <v>0</v>
      </c>
      <c r="M9" s="84">
        <f>INT(IF(L9&gt;0,((YEARFRAC(F9,$H$1,3))),0))</f>
        <v>0</v>
      </c>
      <c r="N9" s="81"/>
      <c r="O9" s="84">
        <f>SUM(M9:N9)</f>
        <v>0</v>
      </c>
      <c r="P9" s="81"/>
      <c r="Q9" s="85">
        <f>+IF(AND(F9&gt;0,OR(MONTH($H$1)=3,MONTH($H$1)=6,MONTH($H$1)=9,MONTH($H$1)=12),MONTH(F9)&lt;=MONTH($H$1),MONTH(F9)&gt;=MONTH($H$1)-2),VLOOKUP(DAYS360(F9,$H$1),'1.DATOS'!$G$27:$I$42,2),0)</f>
        <v>0</v>
      </c>
      <c r="R9" s="81"/>
      <c r="S9" s="81"/>
      <c r="T9" s="81"/>
      <c r="U9" s="81"/>
      <c r="V9" s="81"/>
      <c r="W9" s="81"/>
      <c r="X9" s="81"/>
      <c r="Y9" s="81"/>
      <c r="Z9" s="98">
        <f>+IF(H9='1.DATOS'!$H$13,0,L9)</f>
        <v>0</v>
      </c>
      <c r="AA9" s="98">
        <f>+IF(H9='1.DATOS'!$H$13,L9,0)</f>
        <v>0</v>
      </c>
      <c r="AB9" s="98">
        <f>+IF(OR(Z9&gt;0,AA9&gt;0),'1.DATOS'!D12*$AAF$2*W9,0)</f>
        <v>0</v>
      </c>
      <c r="AC9" s="98" t="b">
        <f>+IF(OR(Z9&gt;0,AA9&gt;0),IF(OR(I9="TIEMPO COMPLETO",I9="Dedicación Exclusiva"),'1.DATOS'!$D$10*$AC$2,0))</f>
        <v>0</v>
      </c>
      <c r="AD9" s="98" t="b">
        <f>+IF(OR(Z9&gt;0,AA9&gt;0),IF(OR(J9='2.CARGOS-SALARIOS'!$J$13,J9='2.CARGOS-SALARIOS'!$J$14),'1.DATOS'!$D$10*$AD$2,"No Apĺica"))</f>
        <v>0</v>
      </c>
      <c r="AE9" s="98" t="b">
        <f>+IF(OR(Z9&gt;0,AA9&gt;0),IF(OR(H9='1.DATOS'!$H$15,H9='1.DATOS'!$H$16),(Z9+AA9)*VLOOKUP(Y9,'1.DATOS'!$C$14:$E$22,3,0),"No Aplica"))</f>
        <v>0</v>
      </c>
      <c r="AF9" s="98" t="b">
        <f>+IF(OR(Z9&gt;0,AA9&gt;0),(Z9+AA9)*0.015*O9)</f>
        <v>0</v>
      </c>
      <c r="AG9" s="98" t="str">
        <f>+IF(AND(OR(Z9&gt;0,AA9&gt;0),H9='1.DATOS'!$H$16,K9="SI"),'1.DATOS'!$D$10*$AG$2,"No Aplica")</f>
        <v>No Aplica</v>
      </c>
      <c r="AH9" s="98" t="str">
        <f>+IF(AND(Z9&gt;0,H9='1.DATOS'!$H$14,Y9='1.DATOS'!$C$19),Z9*'1.DATOS'!$E$19,"No Aplica")</f>
        <v>No Aplica</v>
      </c>
      <c r="AI9" s="98" t="str">
        <f>+IF(AND(Z9&gt;0,H9='1.DATOS'!$H$14,Y9='1.DATOS'!$C$20),Z9*'1.DATOS'!$E$20,"No Aplica")</f>
        <v>No Aplica</v>
      </c>
      <c r="AJ9" s="98" t="str">
        <f>+IF(AND(Z9&gt;0,H9='1.DATOS'!$H$14,Y9='1.DATOS'!$C$21),Z9*'1.DATOS'!$E$21,"No Aplica")</f>
        <v>No Aplica</v>
      </c>
      <c r="AK9" s="98">
        <f>SUM(Z9:AJ9)</f>
        <v>0</v>
      </c>
      <c r="AL9" s="100" t="b">
        <f>+IF(OR(Z9&gt;0,AA9&gt;0),('1.DATOS'!$D$10*'1.DATOS'!$F$10*'1.DATOS'!$G$10))</f>
        <v>0</v>
      </c>
      <c r="AM9" s="100">
        <v>0</v>
      </c>
      <c r="AN9" s="100">
        <f>+((((AK9+AP9)+(AK9+AP9)/30*120/12))/30*105)*0</f>
        <v>0</v>
      </c>
      <c r="AO9" s="100">
        <f>+((((AK9+AP9)+(AK9+AP9)/30*105/12))/30*120)*0</f>
        <v>0</v>
      </c>
      <c r="AP9" s="100">
        <f>+AK9*'1.DATOS'!$J$14</f>
        <v>0</v>
      </c>
      <c r="AQ9" s="100">
        <f>+IF(OR('1.DATOS'!$D$4='1.DATOS'!$C$28,'1.DATOS'!$D$4='1.DATOS'!$C$31,'1.DATOS'!$D$4='1.DATOS'!$C$34,'1.DATOS'!$D$4='1.DATOS'!$C$37),AK9/30*530/360,"Falso")</f>
        <v>0</v>
      </c>
      <c r="AR9" s="100">
        <v>0</v>
      </c>
      <c r="AS9" s="100" t="b">
        <f>+IF(AK9&gt;0,IF(OR(I9="TIEMPO COMPLETO",I9="Dedicación Exclusiva"),($AS$2*'1.DATOS'!$D$10*U9)))</f>
        <v>0</v>
      </c>
      <c r="AT9" s="100">
        <v>0</v>
      </c>
      <c r="AU9" s="100">
        <v>0</v>
      </c>
      <c r="AV9" s="100">
        <v>0</v>
      </c>
      <c r="AW9" s="100">
        <v>0</v>
      </c>
      <c r="AX9" s="100" t="b">
        <f>+IF(OR(Z9&gt;0,AA9&gt;0),IF(OR(I9="TIEMPO COMPLETO",I9="Dedicación Exclusiva"),('1.DATOS'!$C$10*$AX$2)*V9))</f>
        <v>0</v>
      </c>
      <c r="AY9" s="100">
        <f>+AK9*0.01</f>
        <v>0</v>
      </c>
      <c r="AZ9" s="100">
        <v>0</v>
      </c>
      <c r="BA9" s="100">
        <v>0</v>
      </c>
      <c r="BB9" s="100">
        <v>0</v>
      </c>
      <c r="BC9" s="100">
        <f>+(BA9+BB9)*0.12</f>
        <v>0</v>
      </c>
      <c r="BD9" s="100">
        <v>0</v>
      </c>
      <c r="BE9" s="100">
        <v>0</v>
      </c>
      <c r="BF9" s="100">
        <v>0</v>
      </c>
      <c r="BG9" s="100">
        <v>0</v>
      </c>
      <c r="BH9" s="65">
        <f>+SUM(AK9:BG9)</f>
        <v>0</v>
      </c>
      <c r="BI9" s="101"/>
      <c r="ALJ9"/>
      <c r="ALK9"/>
      <c r="AMB9"/>
      <c r="AMC9"/>
      <c r="AMD9"/>
      <c r="AME9"/>
      <c r="AMF9"/>
      <c r="AMG9"/>
      <c r="AMH9"/>
      <c r="AMI9"/>
      <c r="AMJ9"/>
    </row>
    <row r="10" spans="1:1024" ht="30" customHeight="1" x14ac:dyDescent="0.25">
      <c r="A10" s="93"/>
      <c r="B10" s="94"/>
      <c r="C10" s="95"/>
      <c r="D10" s="95"/>
      <c r="E10" s="95"/>
      <c r="F10" s="96"/>
      <c r="G10" s="95"/>
      <c r="H10" s="95"/>
      <c r="I10" s="95"/>
      <c r="J10" s="95"/>
      <c r="K10" s="95"/>
      <c r="L10" s="84"/>
      <c r="M10" s="84"/>
      <c r="N10" s="81"/>
      <c r="O10" s="84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98"/>
      <c r="AA10" s="98"/>
      <c r="AB10" s="98"/>
      <c r="AC10" s="98"/>
      <c r="AD10" s="99"/>
      <c r="AE10" s="98"/>
      <c r="AF10" s="98"/>
      <c r="AG10" s="98"/>
      <c r="AH10" s="98"/>
      <c r="AI10" s="98"/>
      <c r="AJ10" s="98"/>
      <c r="AK10" s="98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65"/>
      <c r="BI10" s="101"/>
    </row>
    <row r="11" spans="1:1024" ht="31.9" customHeight="1" x14ac:dyDescent="0.25">
      <c r="A11" s="242" t="s">
        <v>130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J11"/>
    </row>
    <row r="12" spans="1:1024" ht="15.75" x14ac:dyDescent="0.2">
      <c r="A12" s="104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J12"/>
    </row>
    <row r="13" spans="1:1024" x14ac:dyDescent="0.2"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J13"/>
    </row>
    <row r="14" spans="1:1024" x14ac:dyDescent="0.2"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J14"/>
    </row>
    <row r="15" spans="1:1024" ht="15.75" x14ac:dyDescent="0.25">
      <c r="F15"/>
      <c r="I15"/>
      <c r="J15"/>
      <c r="L15" s="112">
        <f t="shared" ref="L15:AQ15" si="0">SUM(L7:L10)</f>
        <v>0</v>
      </c>
      <c r="M15" s="112">
        <f t="shared" si="0"/>
        <v>0</v>
      </c>
      <c r="N15" s="112">
        <f t="shared" si="0"/>
        <v>0</v>
      </c>
      <c r="O15" s="112">
        <f t="shared" si="0"/>
        <v>0</v>
      </c>
      <c r="P15" s="112">
        <f t="shared" si="0"/>
        <v>0</v>
      </c>
      <c r="Q15" s="112">
        <f t="shared" si="0"/>
        <v>0</v>
      </c>
      <c r="R15" s="112">
        <f t="shared" si="0"/>
        <v>0</v>
      </c>
      <c r="S15" s="112">
        <f t="shared" si="0"/>
        <v>0</v>
      </c>
      <c r="T15" s="112">
        <f t="shared" si="0"/>
        <v>0</v>
      </c>
      <c r="U15" s="112">
        <f t="shared" si="0"/>
        <v>0</v>
      </c>
      <c r="V15" s="112">
        <f t="shared" si="0"/>
        <v>0</v>
      </c>
      <c r="W15" s="112">
        <f t="shared" si="0"/>
        <v>0</v>
      </c>
      <c r="X15" s="112">
        <f t="shared" si="0"/>
        <v>0</v>
      </c>
      <c r="Y15" s="112">
        <f t="shared" si="0"/>
        <v>0</v>
      </c>
      <c r="Z15" s="112">
        <f t="shared" si="0"/>
        <v>0</v>
      </c>
      <c r="AA15" s="112">
        <f t="shared" si="0"/>
        <v>0</v>
      </c>
      <c r="AB15" s="112">
        <f t="shared" si="0"/>
        <v>0</v>
      </c>
      <c r="AC15" s="112">
        <f t="shared" si="0"/>
        <v>0</v>
      </c>
      <c r="AD15" s="112">
        <f t="shared" si="0"/>
        <v>0</v>
      </c>
      <c r="AE15" s="112">
        <f t="shared" si="0"/>
        <v>0</v>
      </c>
      <c r="AF15" s="112">
        <f t="shared" si="0"/>
        <v>0</v>
      </c>
      <c r="AG15" s="112">
        <f t="shared" si="0"/>
        <v>0</v>
      </c>
      <c r="AH15" s="112">
        <f t="shared" si="0"/>
        <v>0</v>
      </c>
      <c r="AI15" s="112">
        <f t="shared" si="0"/>
        <v>0</v>
      </c>
      <c r="AJ15" s="112">
        <f t="shared" si="0"/>
        <v>0</v>
      </c>
      <c r="AK15" s="112">
        <f t="shared" si="0"/>
        <v>0</v>
      </c>
      <c r="AL15" s="112">
        <f t="shared" si="0"/>
        <v>0</v>
      </c>
      <c r="AM15" s="112">
        <f t="shared" si="0"/>
        <v>0</v>
      </c>
      <c r="AN15" s="112">
        <f t="shared" si="0"/>
        <v>0</v>
      </c>
      <c r="AO15" s="112">
        <f t="shared" si="0"/>
        <v>0</v>
      </c>
      <c r="AP15" s="112">
        <f t="shared" si="0"/>
        <v>0</v>
      </c>
      <c r="AQ15" s="112">
        <f t="shared" si="0"/>
        <v>0</v>
      </c>
      <c r="AR15" s="112">
        <f t="shared" ref="AR15:BH15" si="1">SUM(AR7:AR10)</f>
        <v>0</v>
      </c>
      <c r="AS15" s="112">
        <f t="shared" si="1"/>
        <v>0</v>
      </c>
      <c r="AT15" s="112">
        <f t="shared" si="1"/>
        <v>0</v>
      </c>
      <c r="AU15" s="112">
        <f t="shared" si="1"/>
        <v>0</v>
      </c>
      <c r="AV15" s="112">
        <f t="shared" si="1"/>
        <v>0</v>
      </c>
      <c r="AW15" s="112">
        <f t="shared" si="1"/>
        <v>0</v>
      </c>
      <c r="AX15" s="112">
        <f t="shared" si="1"/>
        <v>0</v>
      </c>
      <c r="AY15" s="112">
        <f t="shared" si="1"/>
        <v>0</v>
      </c>
      <c r="AZ15" s="112">
        <f t="shared" si="1"/>
        <v>0</v>
      </c>
      <c r="BA15" s="112">
        <f t="shared" si="1"/>
        <v>0</v>
      </c>
      <c r="BB15" s="112">
        <f t="shared" si="1"/>
        <v>0</v>
      </c>
      <c r="BC15" s="112">
        <f t="shared" si="1"/>
        <v>0</v>
      </c>
      <c r="BD15" s="112">
        <f t="shared" si="1"/>
        <v>0</v>
      </c>
      <c r="BE15" s="112">
        <f t="shared" si="1"/>
        <v>0</v>
      </c>
      <c r="BF15" s="112">
        <f t="shared" si="1"/>
        <v>0</v>
      </c>
      <c r="BG15" s="112">
        <f t="shared" si="1"/>
        <v>0</v>
      </c>
      <c r="BH15" s="114">
        <f t="shared" si="1"/>
        <v>0</v>
      </c>
      <c r="BJ15" s="101"/>
    </row>
    <row r="16" spans="1:1024" ht="30" x14ac:dyDescent="0.25">
      <c r="C16" s="171" t="s">
        <v>249</v>
      </c>
      <c r="D16" s="111">
        <f>+COUNTA(B7:B10)</f>
        <v>0</v>
      </c>
    </row>
  </sheetData>
  <mergeCells count="24">
    <mergeCell ref="AY4:BE4"/>
    <mergeCell ref="BF4:BG4"/>
    <mergeCell ref="A6:Q6"/>
    <mergeCell ref="A11:K11"/>
    <mergeCell ref="AK4:AK5"/>
    <mergeCell ref="AL4:AM4"/>
    <mergeCell ref="AN4:AO4"/>
    <mergeCell ref="AP4:AR4"/>
    <mergeCell ref="AS4:AX4"/>
    <mergeCell ref="A4:L4"/>
    <mergeCell ref="M4:Q4"/>
    <mergeCell ref="R4:Y4"/>
    <mergeCell ref="Z4:AA4"/>
    <mergeCell ref="AB4:AJ4"/>
    <mergeCell ref="AH1:AJ2"/>
    <mergeCell ref="AK1:AK3"/>
    <mergeCell ref="AL1:AM2"/>
    <mergeCell ref="Z2:AA2"/>
    <mergeCell ref="Z3:AA3"/>
    <mergeCell ref="A1:F3"/>
    <mergeCell ref="G1:G3"/>
    <mergeCell ref="H1:H3"/>
    <mergeCell ref="Z1:AA1"/>
    <mergeCell ref="AE1:AF2"/>
  </mergeCells>
  <dataValidations count="1">
    <dataValidation type="list" operator="equal" allowBlank="1" showErrorMessage="1" sqref="K7:K10">
      <formula1>"SI,NO"</formula1>
      <formula2>0</formula2>
    </dataValidation>
  </dataValidations>
  <pageMargins left="0.31527777777777799" right="0.39374999999999999" top="0.74791666666666701" bottom="0.47222222222222199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equal" allowBlank="1" showErrorMessage="1">
          <x14:formula1>
            <xm:f>'1.DATOS'!$H$10:$H$11</xm:f>
          </x14:formula1>
          <x14:formula2>
            <xm:f>0</xm:f>
          </x14:formula2>
          <xm:sqref>D7:E9</xm:sqref>
        </x14:dataValidation>
        <x14:dataValidation type="list" operator="equal" allowBlank="1" showErrorMessage="1">
          <x14:formula1>
            <xm:f>'1.DATOS'!$G$16</xm:f>
          </x14:formula1>
          <x14:formula2>
            <xm:f>0</xm:f>
          </x14:formula2>
          <xm:sqref>G7:G9</xm:sqref>
        </x14:dataValidation>
        <x14:dataValidation type="list" operator="equal" allowBlank="1" showErrorMessage="1">
          <x14:formula1>
            <xm:f>'1.DATOS'!$H$13:$H$16</xm:f>
          </x14:formula1>
          <x14:formula2>
            <xm:f>0</xm:f>
          </x14:formula2>
          <xm:sqref>H7:H9</xm:sqref>
        </x14:dataValidation>
        <x14:dataValidation type="list" operator="equal" allowBlank="1" showErrorMessage="1">
          <x14:formula1>
            <xm:f>'2.CARGOS-SALARIOS'!$I$13:$I$41</xm:f>
          </x14:formula1>
          <x14:formula2>
            <xm:f>0</xm:f>
          </x14:formula2>
          <xm:sqref>I7:I9</xm:sqref>
        </x14:dataValidation>
        <x14:dataValidation type="list" operator="equal" allowBlank="1" showErrorMessage="1">
          <x14:formula1>
            <xm:f>'2.CARGOS-SALARIOS'!$J$13:$J$21</xm:f>
          </x14:formula1>
          <x14:formula2>
            <xm:f>0</xm:f>
          </x14:formula2>
          <xm:sqref>J7:J9</xm:sqref>
        </x14:dataValidation>
        <x14:dataValidation type="list" operator="equal" allowBlank="1" showErrorMessage="1">
          <x14:formula1>
            <xm:f>'1.DATOS'!$C$15:$C$22</xm:f>
          </x14:formula1>
          <x14:formula2>
            <xm:f>0</xm:f>
          </x14:formula2>
          <xm:sqref>Y7:Y9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4557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1.DATOS</vt:lpstr>
      <vt:lpstr>2.CARGOS-SALARIOS</vt:lpstr>
      <vt:lpstr>3.ALTONIVEL</vt:lpstr>
      <vt:lpstr>NOMINA DETALLE COMISION</vt:lpstr>
      <vt:lpstr>4.EMPLEADOS</vt:lpstr>
      <vt:lpstr>5.OBREROS</vt:lpstr>
      <vt:lpstr>6.CONTRATADOS</vt:lpstr>
      <vt:lpstr>7.HP</vt:lpstr>
      <vt:lpstr>8.PENSIONADOS</vt:lpstr>
      <vt:lpstr>9.JUBILADOS</vt:lpstr>
      <vt:lpstr>NOMINA DETALLE PENSIONADOS</vt:lpstr>
      <vt:lpstr>10.COMISION</vt:lpstr>
      <vt:lpstr>11.RESUMEN</vt:lpstr>
      <vt:lpstr>DETALLE PRESUPUESTARIO</vt:lpstr>
      <vt:lpstr>CARGOS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TalentoHumano06</dc:creator>
  <cp:lastModifiedBy>SIRAGON</cp:lastModifiedBy>
  <cp:revision>141</cp:revision>
  <dcterms:created xsi:type="dcterms:W3CDTF">2016-02-26T01:38:36Z</dcterms:created>
  <dcterms:modified xsi:type="dcterms:W3CDTF">2018-10-03T23:42:59Z</dcterms:modified>
  <dc:language>es-VE</dc:language>
</cp:coreProperties>
</file>